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80" windowWidth="11565" windowHeight="11700" tabRatio="951" firstSheet="3" activeTab="9"/>
  </bookViews>
  <sheets>
    <sheet name="Sanghar East" sheetId="1" r:id="rId1"/>
    <sheet name="Badin-IV North" sheetId="2" r:id="rId2"/>
    <sheet name="Jhangara" sheetId="3" r:id="rId3"/>
    <sheet name="Kandra" sheetId="4" r:id="rId4"/>
    <sheet name="New Larkana" sheetId="5" r:id="rId5"/>
    <sheet name="Mirpur Khas West" sheetId="6" r:id="rId6"/>
    <sheet name="Kaloi" sheetId="7" r:id="rId7"/>
    <sheet name="Salam" sheetId="8" r:id="rId8"/>
    <sheet name="Badin-IV South" sheetId="9" r:id="rId9"/>
    <sheet name="Badar" sheetId="10" r:id="rId10"/>
    <sheet name="Offshore J" sheetId="11" r:id="rId11"/>
    <sheet name="Offshore O" sheetId="12" r:id="rId12"/>
    <sheet name="Offshore P" sheetId="13" r:id="rId13"/>
    <sheet name="Mirpu Mathelo Final" sheetId="14" r:id="rId14"/>
    <sheet name="Block-22 Final" sheetId="15" r:id="rId15"/>
    <sheet name="Summary Final" sheetId="16" r:id="rId16"/>
  </sheets>
  <definedNames>
    <definedName name="_xlnm.Print_Area" localSheetId="9">'Badar'!$A$1:$Q$73</definedName>
    <definedName name="_xlnm.Print_Area" localSheetId="1">'Badin-IV North'!$A$1:$Q$89</definedName>
    <definedName name="_xlnm.Print_Area" localSheetId="4">'New Larkana'!$A$1:$Q$72</definedName>
    <definedName name="_xlnm.Print_Area" localSheetId="15">'Summary Final'!$A$1:$L$63</definedName>
    <definedName name="_xlnm.Print_Titles" localSheetId="9">'Badar'!$1:$7</definedName>
    <definedName name="_xlnm.Print_Titles" localSheetId="1">'Badin-IV North'!$1:$7</definedName>
    <definedName name="_xlnm.Print_Titles" localSheetId="8">'Badin-IV South'!$4:$7</definedName>
    <definedName name="_xlnm.Print_Titles" localSheetId="14">'Block-22 Final'!$4:$7</definedName>
    <definedName name="_xlnm.Print_Titles" localSheetId="4">'New Larkana'!$1:$7</definedName>
    <definedName name="_xlnm.Print_Titles" localSheetId="7">'Salam'!$1:$7</definedName>
    <definedName name="_xlnm.Print_Titles" localSheetId="15">'Summary Final'!$3:$4</definedName>
  </definedNames>
  <calcPr fullCalcOnLoad="1"/>
</workbook>
</file>

<file path=xl/sharedStrings.xml><?xml version="1.0" encoding="utf-8"?>
<sst xmlns="http://schemas.openxmlformats.org/spreadsheetml/2006/main" count="1135" uniqueCount="117">
  <si>
    <t>Company Name:</t>
  </si>
  <si>
    <t>Petroleum Exploration (Pvt) Limited</t>
  </si>
  <si>
    <t>Exploration Licence (EL) (Name &amp; No.) &amp; Development Lease (DL) (Name &amp; No.) &amp; District(s) with Province</t>
  </si>
  <si>
    <t>Date of Grant/ Expiry or Continue</t>
  </si>
  <si>
    <t>Annual Obligation per PCA (Attach relevant Articles)</t>
  </si>
  <si>
    <t>Districts falling in the Licence &amp; Leases</t>
  </si>
  <si>
    <t>District Wise area and percentage</t>
  </si>
  <si>
    <t>Obligation</t>
  </si>
  <si>
    <t>District Wise Share</t>
  </si>
  <si>
    <t>Amount Spent US$</t>
  </si>
  <si>
    <t>Name of Schemes with Description (Completed/ Under/ Completion/ Planned)</t>
  </si>
  <si>
    <t>Name of village/ Goth</t>
  </si>
  <si>
    <t>Name &amp; Designation endorsed the Scheme</t>
  </si>
  <si>
    <t>To Whome Scheme handed over after completion</t>
  </si>
  <si>
    <t>Amount Over Spent/ Under Spent</t>
  </si>
  <si>
    <t>Reasons for Un-discharged Obligations</t>
  </si>
  <si>
    <t>Completion/Audit Certificates for Schemes Completed (if available)</t>
  </si>
  <si>
    <t>Area Sq KM</t>
  </si>
  <si>
    <t>%</t>
  </si>
  <si>
    <t>Year</t>
  </si>
  <si>
    <t>US$</t>
  </si>
  <si>
    <t>14 (7-9)</t>
  </si>
  <si>
    <t>Sanghar</t>
  </si>
  <si>
    <t>NA</t>
  </si>
  <si>
    <t>Khairpur</t>
  </si>
  <si>
    <t>2669-5 (Sanghar East)</t>
  </si>
  <si>
    <t>25-09-2007</t>
  </si>
  <si>
    <t>Total</t>
  </si>
  <si>
    <t>Sub Total</t>
  </si>
  <si>
    <t xml:space="preserve">Badin-IV North </t>
  </si>
  <si>
    <t>Badin</t>
  </si>
  <si>
    <t>Hyderabad</t>
  </si>
  <si>
    <t>Thatta</t>
  </si>
  <si>
    <t>Tando Allah Yar</t>
  </si>
  <si>
    <t>Tando Md Khan</t>
  </si>
  <si>
    <t>Jamshoro</t>
  </si>
  <si>
    <t>Jhangara (2567-5)</t>
  </si>
  <si>
    <t>Social Welfare Obligations</t>
  </si>
  <si>
    <t>Kandra ML</t>
  </si>
  <si>
    <t>Sukkur</t>
  </si>
  <si>
    <t>Fund transferred from Premier</t>
  </si>
  <si>
    <t>Larkana</t>
  </si>
  <si>
    <t>New Larkana (2768-10)</t>
  </si>
  <si>
    <t>Shikarpur</t>
  </si>
  <si>
    <t>Jacobabad</t>
  </si>
  <si>
    <t>Kambar/Shahdad Kot</t>
  </si>
  <si>
    <t>Kahirpur</t>
  </si>
  <si>
    <t>Jafarabad</t>
  </si>
  <si>
    <t xml:space="preserve">Mirpur Khas West </t>
  </si>
  <si>
    <t>Matiari</t>
  </si>
  <si>
    <t>Kaloi (2468-8)</t>
  </si>
  <si>
    <t>25/9/2007</t>
  </si>
  <si>
    <t>Tharparkar</t>
  </si>
  <si>
    <t>Mirpur Khas</t>
  </si>
  <si>
    <t xml:space="preserve"> Total</t>
  </si>
  <si>
    <t>Salam (2769-13)</t>
  </si>
  <si>
    <t>Ghotki</t>
  </si>
  <si>
    <t>Kashmore</t>
  </si>
  <si>
    <t>Badin-IV South (2468-5)</t>
  </si>
  <si>
    <t xml:space="preserve">Mirpur Mathelo </t>
  </si>
  <si>
    <t>Badar Gas Field</t>
  </si>
  <si>
    <t>13/3/2002</t>
  </si>
  <si>
    <t>81091 Obligation transferred from premier</t>
  </si>
  <si>
    <t>20,000/
 40,000</t>
  </si>
  <si>
    <t>B-22 (Hasan, Khanpur &amp; Sadiq Leases)</t>
  </si>
  <si>
    <t>109608 US$  transferred from PPL</t>
  </si>
  <si>
    <t>29/09/2006</t>
  </si>
  <si>
    <t>Thatta Coastal Area</t>
  </si>
  <si>
    <t>Offshore Indus-J,</t>
  </si>
  <si>
    <t>Paid in 2009 for establishment of Petroleum Technical Training Institute Khairpur</t>
  </si>
  <si>
    <t>S.No.</t>
  </si>
  <si>
    <t>Social Welfare Obligations of PEL</t>
  </si>
  <si>
    <t>Mirpur Mathelo</t>
  </si>
  <si>
    <t>Social Welfare Obligation</t>
  </si>
  <si>
    <t>20/12/2003</t>
  </si>
  <si>
    <t>District wise area &amp; percentage</t>
  </si>
  <si>
    <t>District wise share</t>
  </si>
  <si>
    <t>Amount spent US$</t>
  </si>
  <si>
    <t>Districts</t>
  </si>
  <si>
    <t>Amount Deposited US$</t>
  </si>
  <si>
    <t>Balance</t>
  </si>
  <si>
    <t xml:space="preserve">Area </t>
  </si>
  <si>
    <t xml:space="preserve">Badin-IV South </t>
  </si>
  <si>
    <t>Block</t>
  </si>
  <si>
    <t>Badar</t>
  </si>
  <si>
    <t>District wise share US$</t>
  </si>
  <si>
    <t>upto 26-04-2014</t>
  </si>
  <si>
    <t>Audit certificate available</t>
  </si>
  <si>
    <t>Annual Obligation</t>
  </si>
  <si>
    <t>Grant Date</t>
  </si>
  <si>
    <t>Expiry Date</t>
  </si>
  <si>
    <t>20-12-2003</t>
  </si>
  <si>
    <t>16-11-1994</t>
  </si>
  <si>
    <t>27-04-2005</t>
  </si>
  <si>
    <t>26-04-2014</t>
  </si>
  <si>
    <t>24-09-2013</t>
  </si>
  <si>
    <t>29-09-2006</t>
  </si>
  <si>
    <t>13/03/2002</t>
  </si>
  <si>
    <t>Expiry</t>
  </si>
  <si>
    <t>28-09-2013</t>
  </si>
  <si>
    <t>Offshore Indus-P</t>
  </si>
  <si>
    <t>28-09-2010</t>
  </si>
  <si>
    <t>Year Wise Obligation position on Social Welfare Schemes since inception to December 31,2016</t>
  </si>
  <si>
    <t>Offshore Indus-O</t>
  </si>
  <si>
    <t>28-09-2011</t>
  </si>
  <si>
    <t>Sujawal</t>
  </si>
  <si>
    <t>Offshore Indus-J</t>
  </si>
  <si>
    <t>26/04/2014</t>
  </si>
  <si>
    <t>27/04/2005</t>
  </si>
  <si>
    <t>16/11/1994</t>
  </si>
  <si>
    <t>* Company adopted petroleum policy 2012 in 30-08-2012. The social welfare obligation adjusted in 2012 as per policy.</t>
  </si>
  <si>
    <t>Block - 22 (Leases- Hassan, Khanpur &amp; Sadiq)</t>
  </si>
  <si>
    <t>5/3/2011 (Hassan-02-04-2017), (Khanpur-02-04-2020), (Sadiq-02-04-2013)</t>
  </si>
  <si>
    <t>31/12/2019</t>
  </si>
  <si>
    <t>Paid to DGPC in 2019  (Deposited in Training Fund Account)</t>
  </si>
  <si>
    <t>Upto 31st December 2019</t>
  </si>
  <si>
    <t>Paid to DGPC (Deposited in Training Account)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</si>
</sst>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"/>
    <numFmt numFmtId="167" formatCode="&quot;$&quot;#,##0"/>
    <numFmt numFmtId="168" formatCode="_(* #,##0.0_);_(* \(#,##0.0\);_(* &quot;-&quot;??_);_(@_)"/>
    <numFmt numFmtId="169" formatCode="0.0"/>
    <numFmt numFmtId="170" formatCode="_(* #,##0.000_);_(* \(#,##0.000\);_(* &quot;-&quot;??_);_(@_)"/>
    <numFmt numFmtId="171" formatCode="0.00_);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vertical="top" wrapText="1"/>
    </xf>
    <xf numFmtId="2" fontId="31" fillId="0" borderId="11" xfId="0" applyNumberFormat="1" applyFont="1" applyFill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vertical="top"/>
    </xf>
    <xf numFmtId="0" fontId="31" fillId="0" borderId="11" xfId="0" applyFont="1" applyBorder="1" applyAlignment="1">
      <alignment horizontal="center" vertical="top"/>
    </xf>
    <xf numFmtId="0" fontId="31" fillId="33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left" vertical="top"/>
    </xf>
    <xf numFmtId="0" fontId="32" fillId="0" borderId="12" xfId="0" applyFont="1" applyBorder="1" applyAlignment="1">
      <alignment horizontal="left" vertical="top" wrapText="1"/>
    </xf>
    <xf numFmtId="3" fontId="31" fillId="0" borderId="11" xfId="0" applyNumberFormat="1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3" fontId="0" fillId="16" borderId="1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 vertical="top"/>
    </xf>
    <xf numFmtId="164" fontId="8" fillId="0" borderId="0" xfId="42" applyNumberFormat="1" applyFont="1" applyBorder="1" applyAlignment="1">
      <alignment vertical="top"/>
    </xf>
    <xf numFmtId="164" fontId="9" fillId="0" borderId="0" xfId="42" applyNumberFormat="1" applyFont="1" applyBorder="1" applyAlignment="1">
      <alignment horizontal="center" vertical="top"/>
    </xf>
    <xf numFmtId="3" fontId="10" fillId="0" borderId="0" xfId="42" applyNumberFormat="1" applyFont="1" applyFill="1" applyBorder="1" applyAlignment="1">
      <alignment horizontal="center" vertical="center" wrapText="1"/>
    </xf>
    <xf numFmtId="3" fontId="10" fillId="0" borderId="0" xfId="42" applyNumberFormat="1" applyFont="1" applyFill="1" applyBorder="1" applyAlignment="1">
      <alignment horizontal="center" vertical="center"/>
    </xf>
    <xf numFmtId="3" fontId="9" fillId="0" borderId="0" xfId="4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164" fontId="58" fillId="0" borderId="0" xfId="42" applyNumberFormat="1" applyFont="1" applyFill="1" applyBorder="1" applyAlignment="1">
      <alignment horizontal="center" vertical="center" wrapText="1"/>
    </xf>
    <xf numFmtId="37" fontId="58" fillId="0" borderId="0" xfId="0" applyNumberFormat="1" applyFont="1" applyFill="1" applyBorder="1" applyAlignment="1">
      <alignment horizontal="center" vertical="center" wrapText="1"/>
    </xf>
    <xf numFmtId="37" fontId="5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wrapText="1"/>
    </xf>
    <xf numFmtId="0" fontId="32" fillId="10" borderId="11" xfId="0" applyFont="1" applyFill="1" applyBorder="1" applyAlignment="1">
      <alignment/>
    </xf>
    <xf numFmtId="3" fontId="32" fillId="10" borderId="16" xfId="0" applyNumberFormat="1" applyFont="1" applyFill="1" applyBorder="1" applyAlignment="1">
      <alignment/>
    </xf>
    <xf numFmtId="0" fontId="32" fillId="10" borderId="17" xfId="0" applyFont="1" applyFill="1" applyBorder="1" applyAlignment="1">
      <alignment/>
    </xf>
    <xf numFmtId="0" fontId="32" fillId="10" borderId="17" xfId="0" applyFont="1" applyFill="1" applyBorder="1" applyAlignment="1">
      <alignment/>
    </xf>
    <xf numFmtId="0" fontId="32" fillId="10" borderId="18" xfId="0" applyFont="1" applyFill="1" applyBorder="1" applyAlignment="1">
      <alignment/>
    </xf>
    <xf numFmtId="3" fontId="32" fillId="10" borderId="1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3" fontId="35" fillId="33" borderId="11" xfId="0" applyNumberFormat="1" applyFont="1" applyFill="1" applyBorder="1" applyAlignment="1">
      <alignment horizontal="center" vertical="top"/>
    </xf>
    <xf numFmtId="3" fontId="35" fillId="0" borderId="11" xfId="0" applyNumberFormat="1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center" vertical="top"/>
    </xf>
    <xf numFmtId="3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vertical="top"/>
    </xf>
    <xf numFmtId="3" fontId="35" fillId="0" borderId="11" xfId="0" applyNumberFormat="1" applyFont="1" applyBorder="1" applyAlignment="1">
      <alignment horizontal="left" vertical="top"/>
    </xf>
    <xf numFmtId="0" fontId="35" fillId="0" borderId="11" xfId="0" applyFont="1" applyBorder="1" applyAlignment="1">
      <alignment horizontal="center" vertical="top"/>
    </xf>
    <xf numFmtId="0" fontId="35" fillId="33" borderId="11" xfId="0" applyFont="1" applyFill="1" applyBorder="1" applyAlignment="1">
      <alignment vertical="top" wrapText="1"/>
    </xf>
    <xf numFmtId="166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top"/>
    </xf>
    <xf numFmtId="3" fontId="35" fillId="33" borderId="10" xfId="0" applyNumberFormat="1" applyFont="1" applyFill="1" applyBorder="1" applyAlignment="1">
      <alignment horizontal="center" vertical="top"/>
    </xf>
    <xf numFmtId="0" fontId="35" fillId="0" borderId="12" xfId="0" applyFont="1" applyBorder="1" applyAlignment="1">
      <alignment horizontal="left" vertical="top"/>
    </xf>
    <xf numFmtId="3" fontId="35" fillId="33" borderId="12" xfId="0" applyNumberFormat="1" applyFont="1" applyFill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2" xfId="0" applyFont="1" applyBorder="1" applyAlignment="1">
      <alignment vertical="top"/>
    </xf>
    <xf numFmtId="0" fontId="35" fillId="0" borderId="19" xfId="0" applyFont="1" applyBorder="1" applyAlignment="1">
      <alignment horizontal="center" vertical="top"/>
    </xf>
    <xf numFmtId="0" fontId="35" fillId="0" borderId="20" xfId="0" applyFont="1" applyBorder="1" applyAlignment="1">
      <alignment vertical="top"/>
    </xf>
    <xf numFmtId="0" fontId="35" fillId="0" borderId="21" xfId="0" applyFont="1" applyBorder="1" applyAlignment="1">
      <alignment horizontal="center" vertical="top"/>
    </xf>
    <xf numFmtId="0" fontId="35" fillId="0" borderId="13" xfId="0" applyFont="1" applyBorder="1" applyAlignment="1">
      <alignment vertical="top"/>
    </xf>
    <xf numFmtId="0" fontId="35" fillId="0" borderId="22" xfId="0" applyFont="1" applyBorder="1" applyAlignment="1">
      <alignment vertical="top"/>
    </xf>
    <xf numFmtId="0" fontId="35" fillId="0" borderId="11" xfId="0" applyFont="1" applyBorder="1" applyAlignment="1">
      <alignment horizontal="center" vertical="top" wrapText="1"/>
    </xf>
    <xf numFmtId="3" fontId="35" fillId="0" borderId="11" xfId="0" applyNumberFormat="1" applyFont="1" applyBorder="1" applyAlignment="1">
      <alignment horizontal="left" vertical="center"/>
    </xf>
    <xf numFmtId="3" fontId="35" fillId="33" borderId="11" xfId="0" applyNumberFormat="1" applyFont="1" applyFill="1" applyBorder="1" applyAlignment="1">
      <alignment horizontal="left" vertical="top"/>
    </xf>
    <xf numFmtId="0" fontId="35" fillId="33" borderId="11" xfId="0" applyFont="1" applyFill="1" applyBorder="1" applyAlignment="1">
      <alignment horizontal="center" vertical="top"/>
    </xf>
    <xf numFmtId="0" fontId="35" fillId="33" borderId="11" xfId="0" applyFont="1" applyFill="1" applyBorder="1" applyAlignment="1">
      <alignment vertical="top"/>
    </xf>
    <xf numFmtId="167" fontId="35" fillId="33" borderId="11" xfId="0" applyNumberFormat="1" applyFont="1" applyFill="1" applyBorder="1" applyAlignment="1">
      <alignment horizontal="left" vertical="top" wrapText="1"/>
    </xf>
    <xf numFmtId="167" fontId="35" fillId="33" borderId="11" xfId="0" applyNumberFormat="1" applyFont="1" applyFill="1" applyBorder="1" applyAlignment="1">
      <alignment horizontal="center" vertical="top"/>
    </xf>
    <xf numFmtId="166" fontId="35" fillId="33" borderId="11" xfId="0" applyNumberFormat="1" applyFont="1" applyFill="1" applyBorder="1" applyAlignment="1">
      <alignment horizontal="center" vertical="top"/>
    </xf>
    <xf numFmtId="4" fontId="35" fillId="33" borderId="11" xfId="0" applyNumberFormat="1" applyFont="1" applyFill="1" applyBorder="1" applyAlignment="1">
      <alignment horizontal="center" vertical="top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vertical="top"/>
    </xf>
    <xf numFmtId="0" fontId="35" fillId="33" borderId="12" xfId="0" applyFont="1" applyFill="1" applyBorder="1" applyAlignment="1">
      <alignment horizontal="left" vertical="top" wrapText="1"/>
    </xf>
    <xf numFmtId="0" fontId="35" fillId="33" borderId="13" xfId="0" applyFont="1" applyFill="1" applyBorder="1" applyAlignment="1">
      <alignment horizontal="left" vertical="top" wrapText="1"/>
    </xf>
    <xf numFmtId="14" fontId="35" fillId="0" borderId="10" xfId="0" applyNumberFormat="1" applyFont="1" applyBorder="1" applyAlignment="1">
      <alignment vertical="top"/>
    </xf>
    <xf numFmtId="0" fontId="0" fillId="10" borderId="11" xfId="0" applyFill="1" applyBorder="1" applyAlignment="1">
      <alignment/>
    </xf>
    <xf numFmtId="3" fontId="0" fillId="10" borderId="11" xfId="0" applyNumberFormat="1" applyFill="1" applyBorder="1" applyAlignment="1">
      <alignment/>
    </xf>
    <xf numFmtId="0" fontId="59" fillId="10" borderId="11" xfId="0" applyFont="1" applyFill="1" applyBorder="1" applyAlignment="1">
      <alignment horizontal="center" vertical="center"/>
    </xf>
    <xf numFmtId="3" fontId="59" fillId="10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" fontId="35" fillId="10" borderId="11" xfId="0" applyNumberFormat="1" applyFont="1" applyFill="1" applyBorder="1" applyAlignment="1">
      <alignment horizontal="center" vertical="top"/>
    </xf>
    <xf numFmtId="0" fontId="0" fillId="10" borderId="16" xfId="0" applyFill="1" applyBorder="1" applyAlignment="1">
      <alignment/>
    </xf>
    <xf numFmtId="0" fontId="0" fillId="10" borderId="18" xfId="0" applyFill="1" applyBorder="1" applyAlignment="1">
      <alignment/>
    </xf>
    <xf numFmtId="3" fontId="35" fillId="10" borderId="11" xfId="0" applyNumberFormat="1" applyFont="1" applyFill="1" applyBorder="1" applyAlignment="1">
      <alignment horizontal="left" vertical="top" wrapText="1"/>
    </xf>
    <xf numFmtId="166" fontId="35" fillId="10" borderId="11" xfId="0" applyNumberFormat="1" applyFont="1" applyFill="1" applyBorder="1" applyAlignment="1">
      <alignment horizontal="center" vertical="top" wrapText="1"/>
    </xf>
    <xf numFmtId="0" fontId="37" fillId="10" borderId="11" xfId="0" applyFont="1" applyFill="1" applyBorder="1" applyAlignment="1">
      <alignment vertical="top"/>
    </xf>
    <xf numFmtId="3" fontId="37" fillId="10" borderId="11" xfId="0" applyNumberFormat="1" applyFont="1" applyFill="1" applyBorder="1" applyAlignment="1">
      <alignment horizontal="center" vertical="top"/>
    </xf>
    <xf numFmtId="0" fontId="37" fillId="10" borderId="11" xfId="0" applyFont="1" applyFill="1" applyBorder="1" applyAlignment="1">
      <alignment vertical="top" wrapText="1"/>
    </xf>
    <xf numFmtId="0" fontId="37" fillId="10" borderId="11" xfId="0" applyFont="1" applyFill="1" applyBorder="1" applyAlignment="1">
      <alignment horizontal="left" vertical="top"/>
    </xf>
    <xf numFmtId="3" fontId="35" fillId="33" borderId="17" xfId="0" applyNumberFormat="1" applyFont="1" applyFill="1" applyBorder="1" applyAlignment="1">
      <alignment horizontal="center" vertical="top"/>
    </xf>
    <xf numFmtId="166" fontId="35" fillId="0" borderId="11" xfId="0" applyNumberFormat="1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3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/>
    </xf>
    <xf numFmtId="3" fontId="37" fillId="10" borderId="11" xfId="0" applyNumberFormat="1" applyFont="1" applyFill="1" applyBorder="1" applyAlignment="1">
      <alignment vertical="top"/>
    </xf>
    <xf numFmtId="166" fontId="35" fillId="0" borderId="11" xfId="0" applyNumberFormat="1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3" fontId="35" fillId="10" borderId="11" xfId="0" applyNumberFormat="1" applyFont="1" applyFill="1" applyBorder="1" applyAlignment="1">
      <alignment horizontal="left" vertical="center"/>
    </xf>
    <xf numFmtId="3" fontId="35" fillId="10" borderId="11" xfId="0" applyNumberFormat="1" applyFont="1" applyFill="1" applyBorder="1" applyAlignment="1">
      <alignment horizontal="center" vertical="center"/>
    </xf>
    <xf numFmtId="166" fontId="35" fillId="10" borderId="11" xfId="0" applyNumberFormat="1" applyFont="1" applyFill="1" applyBorder="1" applyAlignment="1">
      <alignment horizontal="center" vertical="center" wrapText="1"/>
    </xf>
    <xf numFmtId="166" fontId="35" fillId="10" borderId="11" xfId="0" applyNumberFormat="1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left" vertical="top"/>
    </xf>
    <xf numFmtId="3" fontId="35" fillId="33" borderId="18" xfId="0" applyNumberFormat="1" applyFont="1" applyFill="1" applyBorder="1" applyAlignment="1">
      <alignment horizontal="center" vertical="top"/>
    </xf>
    <xf numFmtId="3" fontId="35" fillId="33" borderId="13" xfId="0" applyNumberFormat="1" applyFont="1" applyFill="1" applyBorder="1" applyAlignment="1">
      <alignment horizontal="center" vertical="top"/>
    </xf>
    <xf numFmtId="0" fontId="35" fillId="33" borderId="11" xfId="0" applyFont="1" applyFill="1" applyBorder="1" applyAlignment="1">
      <alignment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left" vertical="center" wrapText="1"/>
    </xf>
    <xf numFmtId="0" fontId="37" fillId="10" borderId="11" xfId="0" applyFont="1" applyFill="1" applyBorder="1" applyAlignment="1">
      <alignment horizontal="center" vertical="top"/>
    </xf>
    <xf numFmtId="0" fontId="37" fillId="10" borderId="16" xfId="0" applyFont="1" applyFill="1" applyBorder="1" applyAlignment="1">
      <alignment vertical="top" wrapText="1"/>
    </xf>
    <xf numFmtId="0" fontId="37" fillId="10" borderId="17" xfId="0" applyFont="1" applyFill="1" applyBorder="1" applyAlignment="1">
      <alignment vertical="top" wrapText="1"/>
    </xf>
    <xf numFmtId="0" fontId="37" fillId="10" borderId="18" xfId="0" applyFont="1" applyFill="1" applyBorder="1" applyAlignment="1">
      <alignment vertical="top" wrapText="1"/>
    </xf>
    <xf numFmtId="0" fontId="37" fillId="10" borderId="17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top" wrapText="1"/>
    </xf>
    <xf numFmtId="164" fontId="37" fillId="10" borderId="11" xfId="42" applyNumberFormat="1" applyFont="1" applyFill="1" applyBorder="1" applyAlignment="1">
      <alignment vertical="center"/>
    </xf>
    <xf numFmtId="3" fontId="37" fillId="10" borderId="11" xfId="0" applyNumberFormat="1" applyFont="1" applyFill="1" applyBorder="1" applyAlignment="1">
      <alignment horizontal="left" vertical="center"/>
    </xf>
    <xf numFmtId="0" fontId="37" fillId="10" borderId="11" xfId="0" applyFont="1" applyFill="1" applyBorder="1" applyAlignment="1">
      <alignment vertical="center"/>
    </xf>
    <xf numFmtId="3" fontId="37" fillId="10" borderId="11" xfId="0" applyNumberFormat="1" applyFont="1" applyFill="1" applyBorder="1" applyAlignment="1">
      <alignment horizontal="center" vertical="center"/>
    </xf>
    <xf numFmtId="0" fontId="35" fillId="10" borderId="11" xfId="0" applyFont="1" applyFill="1" applyBorder="1" applyAlignment="1">
      <alignment vertical="center"/>
    </xf>
    <xf numFmtId="3" fontId="6" fillId="16" borderId="11" xfId="0" applyNumberFormat="1" applyFont="1" applyFill="1" applyBorder="1" applyAlignment="1">
      <alignment/>
    </xf>
    <xf numFmtId="3" fontId="6" fillId="16" borderId="11" xfId="0" applyNumberFormat="1" applyFont="1" applyFill="1" applyBorder="1" applyAlignment="1">
      <alignment horizontal="center"/>
    </xf>
    <xf numFmtId="3" fontId="35" fillId="33" borderId="11" xfId="0" applyNumberFormat="1" applyFont="1" applyFill="1" applyBorder="1" applyAlignment="1">
      <alignment horizontal="left" vertical="top" wrapText="1"/>
    </xf>
    <xf numFmtId="3" fontId="35" fillId="33" borderId="11" xfId="0" applyNumberFormat="1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left" vertical="top"/>
    </xf>
    <xf numFmtId="0" fontId="35" fillId="0" borderId="11" xfId="0" applyNumberFormat="1" applyFont="1" applyBorder="1" applyAlignment="1">
      <alignment horizontal="center" vertical="top"/>
    </xf>
    <xf numFmtId="37" fontId="35" fillId="0" borderId="11" xfId="0" applyNumberFormat="1" applyFont="1" applyBorder="1" applyAlignment="1">
      <alignment horizontal="center" vertical="top"/>
    </xf>
    <xf numFmtId="166" fontId="35" fillId="33" borderId="11" xfId="0" applyNumberFormat="1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vertical="top"/>
    </xf>
    <xf numFmtId="0" fontId="35" fillId="0" borderId="13" xfId="0" applyFont="1" applyBorder="1" applyAlignment="1">
      <alignment horizontal="left" vertical="top"/>
    </xf>
    <xf numFmtId="3" fontId="35" fillId="33" borderId="18" xfId="0" applyNumberFormat="1" applyFont="1" applyFill="1" applyBorder="1" applyAlignment="1">
      <alignment horizontal="center" vertical="center"/>
    </xf>
    <xf numFmtId="3" fontId="35" fillId="33" borderId="11" xfId="0" applyNumberFormat="1" applyFont="1" applyFill="1" applyBorder="1" applyAlignment="1">
      <alignment horizontal="left" vertical="center" wrapText="1"/>
    </xf>
    <xf numFmtId="166" fontId="35" fillId="33" borderId="11" xfId="0" applyNumberFormat="1" applyFont="1" applyFill="1" applyBorder="1" applyAlignment="1">
      <alignment horizontal="center" vertical="center" wrapText="1"/>
    </xf>
    <xf numFmtId="3" fontId="35" fillId="33" borderId="11" xfId="0" applyNumberFormat="1" applyFont="1" applyFill="1" applyBorder="1" applyAlignment="1">
      <alignment horizontal="left" vertical="center"/>
    </xf>
    <xf numFmtId="37" fontId="35" fillId="0" borderId="11" xfId="0" applyNumberFormat="1" applyFont="1" applyBorder="1" applyAlignment="1">
      <alignment horizontal="center" vertical="center"/>
    </xf>
    <xf numFmtId="0" fontId="37" fillId="10" borderId="11" xfId="0" applyNumberFormat="1" applyFont="1" applyFill="1" applyBorder="1" applyAlignment="1">
      <alignment horizontal="center" vertical="top"/>
    </xf>
    <xf numFmtId="164" fontId="37" fillId="10" borderId="11" xfId="42" applyNumberFormat="1" applyFont="1" applyFill="1" applyBorder="1" applyAlignment="1">
      <alignment vertical="top"/>
    </xf>
    <xf numFmtId="0" fontId="37" fillId="10" borderId="11" xfId="0" applyFont="1" applyFill="1" applyBorder="1" applyAlignment="1">
      <alignment horizontal="left" vertical="top" wrapText="1"/>
    </xf>
    <xf numFmtId="164" fontId="37" fillId="10" borderId="11" xfId="42" applyNumberFormat="1" applyFont="1" applyFill="1" applyBorder="1" applyAlignment="1">
      <alignment horizontal="center" vertical="top"/>
    </xf>
    <xf numFmtId="3" fontId="35" fillId="1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left" vertical="center" wrapText="1"/>
    </xf>
    <xf numFmtId="37" fontId="37" fillId="10" borderId="11" xfId="42" applyNumberFormat="1" applyFont="1" applyFill="1" applyBorder="1" applyAlignment="1">
      <alignment vertical="top"/>
    </xf>
    <xf numFmtId="0" fontId="6" fillId="10" borderId="11" xfId="0" applyFont="1" applyFill="1" applyBorder="1" applyAlignment="1">
      <alignment horizontal="left" vertical="center" wrapText="1"/>
    </xf>
    <xf numFmtId="2" fontId="6" fillId="10" borderId="11" xfId="0" applyNumberFormat="1" applyFont="1" applyFill="1" applyBorder="1" applyAlignment="1">
      <alignment horizontal="right" vertical="center" wrapText="1"/>
    </xf>
    <xf numFmtId="43" fontId="6" fillId="10" borderId="11" xfId="0" applyNumberFormat="1" applyFont="1" applyFill="1" applyBorder="1" applyAlignment="1">
      <alignment horizontal="left" vertical="center" wrapText="1"/>
    </xf>
    <xf numFmtId="37" fontId="0" fillId="10" borderId="16" xfId="0" applyNumberFormat="1" applyFill="1" applyBorder="1" applyAlignment="1">
      <alignment/>
    </xf>
    <xf numFmtId="164" fontId="35" fillId="0" borderId="11" xfId="42" applyNumberFormat="1" applyFont="1" applyBorder="1" applyAlignment="1">
      <alignment horizontal="center" vertical="top"/>
    </xf>
    <xf numFmtId="0" fontId="35" fillId="33" borderId="10" xfId="0" applyFont="1" applyFill="1" applyBorder="1" applyAlignment="1">
      <alignment horizontal="left" vertical="top"/>
    </xf>
    <xf numFmtId="0" fontId="35" fillId="33" borderId="12" xfId="0" applyFont="1" applyFill="1" applyBorder="1" applyAlignment="1">
      <alignment horizontal="center" vertical="top"/>
    </xf>
    <xf numFmtId="0" fontId="35" fillId="33" borderId="12" xfId="0" applyFont="1" applyFill="1" applyBorder="1" applyAlignment="1">
      <alignment horizontal="left" vertical="top"/>
    </xf>
    <xf numFmtId="166" fontId="35" fillId="33" borderId="11" xfId="0" applyNumberFormat="1" applyFont="1" applyFill="1" applyBorder="1" applyAlignment="1">
      <alignment horizontal="center" vertical="center"/>
    </xf>
    <xf numFmtId="164" fontId="35" fillId="0" borderId="11" xfId="42" applyNumberFormat="1" applyFont="1" applyBorder="1" applyAlignment="1">
      <alignment horizontal="center" vertical="center"/>
    </xf>
    <xf numFmtId="3" fontId="35" fillId="33" borderId="17" xfId="0" applyNumberFormat="1" applyFont="1" applyFill="1" applyBorder="1" applyAlignment="1">
      <alignment horizontal="center" vertical="center"/>
    </xf>
    <xf numFmtId="166" fontId="35" fillId="1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35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10" borderId="11" xfId="0" applyNumberFormat="1" applyFill="1" applyBorder="1" applyAlignment="1">
      <alignment/>
    </xf>
    <xf numFmtId="3" fontId="35" fillId="33" borderId="10" xfId="0" applyNumberFormat="1" applyFont="1" applyFill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center" vertical="top"/>
    </xf>
    <xf numFmtId="3" fontId="35" fillId="0" borderId="13" xfId="0" applyNumberFormat="1" applyFont="1" applyBorder="1" applyAlignment="1">
      <alignment horizontal="center" vertical="top"/>
    </xf>
    <xf numFmtId="43" fontId="35" fillId="0" borderId="11" xfId="42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top"/>
    </xf>
    <xf numFmtId="0" fontId="35" fillId="0" borderId="11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left" vertical="top" wrapText="1"/>
    </xf>
    <xf numFmtId="0" fontId="59" fillId="10" borderId="11" xfId="0" applyFont="1" applyFill="1" applyBorder="1" applyAlignment="1">
      <alignment/>
    </xf>
    <xf numFmtId="3" fontId="59" fillId="10" borderId="11" xfId="0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7" fillId="10" borderId="17" xfId="0" applyFont="1" applyFill="1" applyBorder="1" applyAlignment="1">
      <alignment horizontal="center" vertical="center" wrapText="1"/>
    </xf>
    <xf numFmtId="0" fontId="55" fillId="10" borderId="11" xfId="0" applyFont="1" applyFill="1" applyBorder="1" applyAlignment="1">
      <alignment/>
    </xf>
    <xf numFmtId="164" fontId="55" fillId="10" borderId="11" xfId="0" applyNumberFormat="1" applyFont="1" applyFill="1" applyBorder="1" applyAlignment="1">
      <alignment/>
    </xf>
    <xf numFmtId="37" fontId="35" fillId="0" borderId="0" xfId="0" applyNumberFormat="1" applyFont="1" applyBorder="1" applyAlignment="1">
      <alignment horizontal="center" vertical="center"/>
    </xf>
    <xf numFmtId="3" fontId="0" fillId="10" borderId="16" xfId="0" applyNumberFormat="1" applyFill="1" applyBorder="1" applyAlignment="1">
      <alignment/>
    </xf>
    <xf numFmtId="0" fontId="2" fillId="0" borderId="0" xfId="0" applyFont="1" applyAlignment="1">
      <alignment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vertical="top" wrapText="1"/>
    </xf>
    <xf numFmtId="0" fontId="35" fillId="33" borderId="13" xfId="0" applyFont="1" applyFill="1" applyBorder="1" applyAlignment="1">
      <alignment horizontal="center" vertical="top"/>
    </xf>
    <xf numFmtId="0" fontId="35" fillId="33" borderId="13" xfId="0" applyFont="1" applyFill="1" applyBorder="1" applyAlignment="1">
      <alignment horizontal="left" vertical="top"/>
    </xf>
    <xf numFmtId="3" fontId="3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0" fillId="16" borderId="11" xfId="0" applyFill="1" applyBorder="1" applyAlignment="1">
      <alignment/>
    </xf>
    <xf numFmtId="0" fontId="0" fillId="10" borderId="11" xfId="0" applyFill="1" applyBorder="1" applyAlignment="1">
      <alignment/>
    </xf>
    <xf numFmtId="37" fontId="0" fillId="10" borderId="11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3" fontId="35" fillId="0" borderId="11" xfId="0" applyNumberFormat="1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center" vertical="top"/>
    </xf>
    <xf numFmtId="0" fontId="0" fillId="0" borderId="11" xfId="0" applyFill="1" applyBorder="1" applyAlignment="1">
      <alignment/>
    </xf>
    <xf numFmtId="43" fontId="0" fillId="0" borderId="0" xfId="42" applyFont="1" applyAlignment="1">
      <alignment/>
    </xf>
    <xf numFmtId="3" fontId="35" fillId="0" borderId="11" xfId="0" applyNumberFormat="1" applyFont="1" applyFill="1" applyBorder="1" applyAlignment="1">
      <alignment horizontal="center" vertical="top" wrapText="1"/>
    </xf>
    <xf numFmtId="3" fontId="35" fillId="0" borderId="11" xfId="0" applyNumberFormat="1" applyFont="1" applyFill="1" applyBorder="1" applyAlignment="1">
      <alignment horizontal="center" vertical="top"/>
    </xf>
    <xf numFmtId="0" fontId="59" fillId="0" borderId="11" xfId="0" applyFont="1" applyFill="1" applyBorder="1" applyAlignment="1">
      <alignment/>
    </xf>
    <xf numFmtId="0" fontId="35" fillId="0" borderId="11" xfId="0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center" vertical="center"/>
    </xf>
    <xf numFmtId="164" fontId="55" fillId="0" borderId="25" xfId="42" applyNumberFormat="1" applyFont="1" applyBorder="1" applyAlignment="1">
      <alignment/>
    </xf>
    <xf numFmtId="0" fontId="0" fillId="0" borderId="24" xfId="0" applyBorder="1" applyAlignment="1">
      <alignment/>
    </xf>
    <xf numFmtId="0" fontId="55" fillId="0" borderId="24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55" fillId="0" borderId="11" xfId="42" applyNumberFormat="1" applyFont="1" applyBorder="1" applyAlignment="1">
      <alignment horizontal="right" vertical="center"/>
    </xf>
    <xf numFmtId="164" fontId="55" fillId="0" borderId="11" xfId="42" applyNumberFormat="1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right" vertical="top" wrapText="1"/>
    </xf>
    <xf numFmtId="2" fontId="35" fillId="0" borderId="11" xfId="0" applyNumberFormat="1" applyFont="1" applyFill="1" applyBorder="1" applyAlignment="1">
      <alignment horizontal="right" vertical="top"/>
    </xf>
    <xf numFmtId="2" fontId="0" fillId="0" borderId="11" xfId="0" applyNumberFormat="1" applyFill="1" applyBorder="1" applyAlignment="1">
      <alignment horizontal="right"/>
    </xf>
    <xf numFmtId="2" fontId="59" fillId="0" borderId="11" xfId="0" applyNumberFormat="1" applyFont="1" applyFill="1" applyBorder="1" applyAlignment="1">
      <alignment horizontal="right"/>
    </xf>
    <xf numFmtId="2" fontId="35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vertical="top" wrapText="1"/>
    </xf>
    <xf numFmtId="37" fontId="35" fillId="33" borderId="11" xfId="0" applyNumberFormat="1" applyFont="1" applyFill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4" fontId="6" fillId="16" borderId="11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6" fillId="16" borderId="11" xfId="0" applyFont="1" applyFill="1" applyBorder="1" applyAlignment="1">
      <alignment/>
    </xf>
    <xf numFmtId="3" fontId="31" fillId="16" borderId="26" xfId="0" applyNumberFormat="1" applyFont="1" applyFill="1" applyBorder="1" applyAlignment="1">
      <alignment vertical="top" wrapText="1"/>
    </xf>
    <xf numFmtId="3" fontId="0" fillId="16" borderId="25" xfId="0" applyNumberFormat="1" applyFill="1" applyBorder="1" applyAlignment="1">
      <alignment/>
    </xf>
    <xf numFmtId="0" fontId="0" fillId="0" borderId="27" xfId="0" applyBorder="1" applyAlignment="1">
      <alignment/>
    </xf>
    <xf numFmtId="3" fontId="55" fillId="0" borderId="24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0" fontId="35" fillId="0" borderId="0" xfId="0" applyFont="1" applyBorder="1" applyAlignment="1">
      <alignment horizontal="left" vertical="top" wrapText="1"/>
    </xf>
    <xf numFmtId="3" fontId="35" fillId="10" borderId="26" xfId="0" applyNumberFormat="1" applyFont="1" applyFill="1" applyBorder="1" applyAlignment="1">
      <alignment horizontal="left" vertical="center"/>
    </xf>
    <xf numFmtId="3" fontId="0" fillId="10" borderId="25" xfId="0" applyNumberFormat="1" applyFill="1" applyBorder="1" applyAlignment="1">
      <alignment/>
    </xf>
    <xf numFmtId="3" fontId="35" fillId="10" borderId="26" xfId="0" applyNumberFormat="1" applyFont="1" applyFill="1" applyBorder="1" applyAlignment="1">
      <alignment horizontal="left" vertical="top"/>
    </xf>
    <xf numFmtId="0" fontId="55" fillId="0" borderId="27" xfId="0" applyFont="1" applyBorder="1" applyAlignment="1">
      <alignment/>
    </xf>
    <xf numFmtId="3" fontId="35" fillId="0" borderId="27" xfId="0" applyNumberFormat="1" applyFont="1" applyBorder="1" applyAlignment="1">
      <alignment horizontal="left" vertical="top" wrapText="1"/>
    </xf>
    <xf numFmtId="3" fontId="35" fillId="0" borderId="2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3" fontId="35" fillId="10" borderId="27" xfId="0" applyNumberFormat="1" applyFont="1" applyFill="1" applyBorder="1" applyAlignment="1">
      <alignment horizontal="center" vertical="top"/>
    </xf>
    <xf numFmtId="4" fontId="35" fillId="10" borderId="24" xfId="0" applyNumberFormat="1" applyFont="1" applyFill="1" applyBorder="1" applyAlignment="1">
      <alignment horizontal="center" vertical="top"/>
    </xf>
    <xf numFmtId="3" fontId="35" fillId="10" borderId="24" xfId="0" applyNumberFormat="1" applyFont="1" applyFill="1" applyBorder="1" applyAlignment="1">
      <alignment horizontal="center" vertical="top"/>
    </xf>
    <xf numFmtId="0" fontId="0" fillId="10" borderId="24" xfId="0" applyFill="1" applyBorder="1" applyAlignment="1">
      <alignment/>
    </xf>
    <xf numFmtId="3" fontId="0" fillId="10" borderId="24" xfId="0" applyNumberFormat="1" applyFill="1" applyBorder="1" applyAlignment="1">
      <alignment/>
    </xf>
    <xf numFmtId="3" fontId="0" fillId="10" borderId="28" xfId="0" applyNumberFormat="1" applyFill="1" applyBorder="1" applyAlignment="1">
      <alignment/>
    </xf>
    <xf numFmtId="3" fontId="35" fillId="10" borderId="26" xfId="0" applyNumberFormat="1" applyFont="1" applyFill="1" applyBorder="1" applyAlignment="1">
      <alignment horizontal="left" vertical="top" wrapText="1"/>
    </xf>
    <xf numFmtId="3" fontId="35" fillId="10" borderId="26" xfId="0" applyNumberFormat="1" applyFont="1" applyFill="1" applyBorder="1" applyAlignment="1">
      <alignment horizontal="left" vertical="center" wrapText="1"/>
    </xf>
    <xf numFmtId="3" fontId="37" fillId="10" borderId="29" xfId="0" applyNumberFormat="1" applyFont="1" applyFill="1" applyBorder="1" applyAlignment="1">
      <alignment horizontal="left" vertical="top" wrapText="1"/>
    </xf>
    <xf numFmtId="3" fontId="37" fillId="10" borderId="30" xfId="0" applyNumberFormat="1" applyFont="1" applyFill="1" applyBorder="1" applyAlignment="1">
      <alignment horizontal="left" vertical="top" wrapText="1"/>
    </xf>
    <xf numFmtId="3" fontId="37" fillId="10" borderId="31" xfId="0" applyNumberFormat="1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0" fontId="35" fillId="0" borderId="32" xfId="0" applyFont="1" applyBorder="1" applyAlignment="1">
      <alignment horizontal="left" vertical="top" wrapText="1"/>
    </xf>
    <xf numFmtId="3" fontId="37" fillId="10" borderId="27" xfId="0" applyNumberFormat="1" applyFont="1" applyFill="1" applyBorder="1" applyAlignment="1">
      <alignment horizontal="left" vertical="top" wrapText="1"/>
    </xf>
    <xf numFmtId="3" fontId="37" fillId="10" borderId="24" xfId="0" applyNumberFormat="1" applyFont="1" applyFill="1" applyBorder="1" applyAlignment="1">
      <alignment horizontal="left" vertical="top" wrapText="1"/>
    </xf>
    <xf numFmtId="3" fontId="37" fillId="10" borderId="28" xfId="0" applyNumberFormat="1" applyFont="1" applyFill="1" applyBorder="1" applyAlignment="1">
      <alignment horizontal="left" vertical="top" wrapText="1"/>
    </xf>
    <xf numFmtId="3" fontId="35" fillId="10" borderId="13" xfId="0" applyNumberFormat="1" applyFont="1" applyFill="1" applyBorder="1" applyAlignment="1">
      <alignment horizontal="left" vertical="top" wrapText="1"/>
    </xf>
    <xf numFmtId="3" fontId="35" fillId="10" borderId="13" xfId="0" applyNumberFormat="1" applyFont="1" applyFill="1" applyBorder="1" applyAlignment="1">
      <alignment horizontal="center" vertical="top"/>
    </xf>
    <xf numFmtId="166" fontId="35" fillId="10" borderId="13" xfId="0" applyNumberFormat="1" applyFont="1" applyFill="1" applyBorder="1" applyAlignment="1">
      <alignment horizontal="center" vertical="top" wrapText="1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3" fontId="0" fillId="10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0" fontId="0" fillId="10" borderId="13" xfId="0" applyFill="1" applyBorder="1" applyAlignment="1">
      <alignment/>
    </xf>
    <xf numFmtId="3" fontId="35" fillId="10" borderId="13" xfId="0" applyNumberFormat="1" applyFont="1" applyFill="1" applyBorder="1" applyAlignment="1">
      <alignment horizontal="left" vertical="center"/>
    </xf>
    <xf numFmtId="3" fontId="35" fillId="10" borderId="13" xfId="0" applyNumberFormat="1" applyFont="1" applyFill="1" applyBorder="1" applyAlignment="1">
      <alignment horizontal="center" vertical="center"/>
    </xf>
    <xf numFmtId="166" fontId="35" fillId="10" borderId="13" xfId="0" applyNumberFormat="1" applyFont="1" applyFill="1" applyBorder="1" applyAlignment="1">
      <alignment horizontal="center" vertical="center"/>
    </xf>
    <xf numFmtId="37" fontId="0" fillId="10" borderId="13" xfId="0" applyNumberFormat="1" applyFill="1" applyBorder="1" applyAlignment="1">
      <alignment/>
    </xf>
    <xf numFmtId="0" fontId="14" fillId="0" borderId="0" xfId="0" applyFont="1" applyFill="1" applyAlignment="1">
      <alignment/>
    </xf>
    <xf numFmtId="0" fontId="35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3" fontId="35" fillId="33" borderId="11" xfId="0" applyNumberFormat="1" applyFont="1" applyFill="1" applyBorder="1" applyAlignment="1">
      <alignment horizontal="center" vertical="center"/>
    </xf>
    <xf numFmtId="164" fontId="35" fillId="33" borderId="11" xfId="42" applyNumberFormat="1" applyFont="1" applyFill="1" applyBorder="1" applyAlignment="1">
      <alignment horizontal="center" vertical="top"/>
    </xf>
    <xf numFmtId="0" fontId="35" fillId="0" borderId="11" xfId="0" applyFont="1" applyBorder="1" applyAlignment="1">
      <alignment vertical="center" wrapText="1"/>
    </xf>
    <xf numFmtId="0" fontId="35" fillId="33" borderId="11" xfId="0" applyFont="1" applyFill="1" applyBorder="1" applyAlignment="1">
      <alignment horizontal="center" vertical="center" wrapText="1"/>
    </xf>
    <xf numFmtId="164" fontId="0" fillId="10" borderId="11" xfId="0" applyNumberFormat="1" applyFill="1" applyBorder="1" applyAlignment="1">
      <alignment/>
    </xf>
    <xf numFmtId="164" fontId="35" fillId="33" borderId="11" xfId="42" applyNumberFormat="1" applyFont="1" applyFill="1" applyBorder="1" applyAlignment="1">
      <alignment vertical="top" wrapText="1"/>
    </xf>
    <xf numFmtId="0" fontId="35" fillId="33" borderId="11" xfId="0" applyFont="1" applyFill="1" applyBorder="1" applyAlignment="1">
      <alignment horizontal="left" vertical="top" wrapText="1"/>
    </xf>
    <xf numFmtId="164" fontId="35" fillId="33" borderId="12" xfId="42" applyNumberFormat="1" applyFont="1" applyFill="1" applyBorder="1" applyAlignment="1">
      <alignment horizontal="center" vertical="top"/>
    </xf>
    <xf numFmtId="164" fontId="0" fillId="0" borderId="0" xfId="42" applyNumberFormat="1" applyFont="1" applyAlignment="1">
      <alignment/>
    </xf>
    <xf numFmtId="164" fontId="0" fillId="10" borderId="11" xfId="42" applyNumberFormat="1" applyFont="1" applyFill="1" applyBorder="1" applyAlignment="1">
      <alignment/>
    </xf>
    <xf numFmtId="3" fontId="35" fillId="10" borderId="33" xfId="0" applyNumberFormat="1" applyFont="1" applyFill="1" applyBorder="1" applyAlignment="1">
      <alignment horizontal="left" vertical="top" wrapText="1"/>
    </xf>
    <xf numFmtId="3" fontId="35" fillId="10" borderId="10" xfId="0" applyNumberFormat="1" applyFont="1" applyFill="1" applyBorder="1" applyAlignment="1">
      <alignment horizontal="center" vertical="top"/>
    </xf>
    <xf numFmtId="166" fontId="35" fillId="10" borderId="10" xfId="0" applyNumberFormat="1" applyFont="1" applyFill="1" applyBorder="1" applyAlignment="1">
      <alignment horizontal="center" vertical="top" wrapText="1"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3" fontId="0" fillId="10" borderId="34" xfId="0" applyNumberFormat="1" applyFill="1" applyBorder="1" applyAlignment="1">
      <alignment/>
    </xf>
    <xf numFmtId="3" fontId="35" fillId="0" borderId="10" xfId="0" applyNumberFormat="1" applyFont="1" applyBorder="1" applyAlignment="1">
      <alignment vertical="top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/>
    </xf>
    <xf numFmtId="43" fontId="61" fillId="0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164" fontId="61" fillId="0" borderId="0" xfId="0" applyNumberFormat="1" applyFont="1" applyFill="1" applyAlignment="1">
      <alignment vertical="center"/>
    </xf>
    <xf numFmtId="0" fontId="35" fillId="0" borderId="10" xfId="0" applyFont="1" applyBorder="1" applyAlignment="1">
      <alignment horizontal="left" vertical="top" wrapText="1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164" fontId="0" fillId="0" borderId="13" xfId="42" applyNumberFormat="1" applyFont="1" applyFill="1" applyBorder="1" applyAlignment="1">
      <alignment/>
    </xf>
    <xf numFmtId="164" fontId="0" fillId="0" borderId="25" xfId="42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 horizontal="right"/>
    </xf>
    <xf numFmtId="164" fontId="55" fillId="0" borderId="11" xfId="42" applyNumberFormat="1" applyFont="1" applyFill="1" applyBorder="1" applyAlignment="1">
      <alignment/>
    </xf>
    <xf numFmtId="164" fontId="55" fillId="0" borderId="25" xfId="42" applyNumberFormat="1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right" vertical="top"/>
    </xf>
    <xf numFmtId="164" fontId="0" fillId="0" borderId="11" xfId="42" applyNumberFormat="1" applyFont="1" applyFill="1" applyBorder="1" applyAlignment="1">
      <alignment horizontal="center" vertical="top"/>
    </xf>
    <xf numFmtId="164" fontId="55" fillId="0" borderId="11" xfId="42" applyNumberFormat="1" applyFont="1" applyFill="1" applyBorder="1" applyAlignment="1">
      <alignment horizontal="center" vertical="top"/>
    </xf>
    <xf numFmtId="164" fontId="55" fillId="0" borderId="25" xfId="42" applyNumberFormat="1" applyFont="1" applyFill="1" applyBorder="1" applyAlignment="1">
      <alignment horizontal="center" vertical="top"/>
    </xf>
    <xf numFmtId="3" fontId="35" fillId="33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1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1" xfId="42" applyNumberFormat="1" applyFont="1" applyFill="1" applyBorder="1" applyAlignment="1">
      <alignment horizontal="right"/>
    </xf>
    <xf numFmtId="164" fontId="55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2" fontId="55" fillId="0" borderId="11" xfId="42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 horizontal="right"/>
    </xf>
    <xf numFmtId="164" fontId="55" fillId="0" borderId="24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62" fillId="0" borderId="11" xfId="0" applyFont="1" applyFill="1" applyBorder="1" applyAlignment="1">
      <alignment/>
    </xf>
    <xf numFmtId="3" fontId="35" fillId="0" borderId="10" xfId="0" applyNumberFormat="1" applyFont="1" applyBorder="1" applyAlignment="1">
      <alignment horizontal="center" vertical="center"/>
    </xf>
    <xf numFmtId="3" fontId="35" fillId="33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>
      <alignment/>
    </xf>
    <xf numFmtId="2" fontId="35" fillId="0" borderId="10" xfId="0" applyNumberFormat="1" applyFont="1" applyBorder="1" applyAlignment="1">
      <alignment horizontal="right" vertical="center"/>
    </xf>
    <xf numFmtId="164" fontId="55" fillId="0" borderId="10" xfId="42" applyNumberFormat="1" applyFont="1" applyBorder="1" applyAlignment="1">
      <alignment horizontal="right" vertical="center"/>
    </xf>
    <xf numFmtId="164" fontId="55" fillId="0" borderId="10" xfId="42" applyNumberFormat="1" applyFont="1" applyBorder="1" applyAlignment="1">
      <alignment horizontal="center" vertical="center"/>
    </xf>
    <xf numFmtId="14" fontId="35" fillId="0" borderId="12" xfId="0" applyNumberFormat="1" applyFont="1" applyBorder="1" applyAlignment="1">
      <alignment vertical="top"/>
    </xf>
    <xf numFmtId="14" fontId="35" fillId="0" borderId="12" xfId="0" applyNumberFormat="1" applyFont="1" applyBorder="1" applyAlignment="1">
      <alignment horizontal="left" vertical="top"/>
    </xf>
    <xf numFmtId="14" fontId="35" fillId="0" borderId="10" xfId="0" applyNumberFormat="1" applyFont="1" applyBorder="1" applyAlignment="1">
      <alignment horizontal="left" vertical="top"/>
    </xf>
    <xf numFmtId="14" fontId="35" fillId="33" borderId="12" xfId="0" applyNumberFormat="1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 vertical="center"/>
    </xf>
    <xf numFmtId="43" fontId="0" fillId="0" borderId="35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5" fillId="0" borderId="12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3" fontId="35" fillId="33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3" fontId="35" fillId="33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3" fontId="35" fillId="33" borderId="11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62" fillId="0" borderId="11" xfId="0" applyFont="1" applyFill="1" applyBorder="1" applyAlignment="1">
      <alignment wrapText="1"/>
    </xf>
    <xf numFmtId="164" fontId="0" fillId="0" borderId="11" xfId="42" applyNumberFormat="1" applyFont="1" applyFill="1" applyBorder="1" applyAlignment="1">
      <alignment vertical="center"/>
    </xf>
    <xf numFmtId="164" fontId="0" fillId="0" borderId="0" xfId="42" applyNumberFormat="1" applyFont="1" applyAlignment="1">
      <alignment/>
    </xf>
    <xf numFmtId="0" fontId="55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64" fontId="55" fillId="0" borderId="11" xfId="42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36" xfId="42" applyFont="1" applyBorder="1" applyAlignment="1">
      <alignment horizontal="center" vertical="center" wrapText="1"/>
    </xf>
    <xf numFmtId="43" fontId="3" fillId="0" borderId="11" xfId="42" applyFont="1" applyBorder="1" applyAlignment="1">
      <alignment horizontal="center" vertical="center" wrapText="1"/>
    </xf>
    <xf numFmtId="164" fontId="3" fillId="0" borderId="36" xfId="42" applyNumberFormat="1" applyFont="1" applyBorder="1" applyAlignment="1">
      <alignment horizontal="center" vertical="center" wrapText="1"/>
    </xf>
    <xf numFmtId="164" fontId="3" fillId="0" borderId="11" xfId="4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top" wrapText="1"/>
    </xf>
    <xf numFmtId="3" fontId="31" fillId="33" borderId="13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top"/>
    </xf>
    <xf numFmtId="3" fontId="31" fillId="33" borderId="13" xfId="0" applyNumberFormat="1" applyFont="1" applyFill="1" applyBorder="1" applyAlignment="1">
      <alignment horizontal="center" vertical="top"/>
    </xf>
    <xf numFmtId="3" fontId="31" fillId="0" borderId="10" xfId="0" applyNumberFormat="1" applyFont="1" applyBorder="1" applyAlignment="1">
      <alignment horizontal="center" vertical="top"/>
    </xf>
    <xf numFmtId="3" fontId="31" fillId="0" borderId="13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top"/>
    </xf>
    <xf numFmtId="3" fontId="31" fillId="33" borderId="10" xfId="0" applyNumberFormat="1" applyFont="1" applyFill="1" applyBorder="1" applyAlignment="1">
      <alignment horizontal="center" vertical="center"/>
    </xf>
    <xf numFmtId="3" fontId="31" fillId="33" borderId="13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top"/>
    </xf>
    <xf numFmtId="0" fontId="37" fillId="10" borderId="17" xfId="0" applyFont="1" applyFill="1" applyBorder="1" applyAlignment="1">
      <alignment horizontal="center" vertical="top"/>
    </xf>
    <xf numFmtId="0" fontId="37" fillId="10" borderId="18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43" fontId="3" fillId="0" borderId="24" xfId="42" applyFont="1" applyBorder="1" applyAlignment="1">
      <alignment horizontal="center" vertical="center" wrapText="1"/>
    </xf>
    <xf numFmtId="164" fontId="3" fillId="0" borderId="24" xfId="42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3" fontId="35" fillId="33" borderId="11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164" fontId="3" fillId="0" borderId="10" xfId="42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/>
    </xf>
    <xf numFmtId="3" fontId="35" fillId="33" borderId="1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top" wrapText="1"/>
    </xf>
    <xf numFmtId="0" fontId="37" fillId="10" borderId="17" xfId="0" applyFont="1" applyFill="1" applyBorder="1" applyAlignment="1">
      <alignment horizontal="center" vertical="top" wrapText="1"/>
    </xf>
    <xf numFmtId="0" fontId="37" fillId="10" borderId="18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35" fillId="0" borderId="10" xfId="42" applyNumberFormat="1" applyFont="1" applyBorder="1" applyAlignment="1">
      <alignment horizontal="center" vertical="center"/>
    </xf>
    <xf numFmtId="164" fontId="35" fillId="0" borderId="12" xfId="42" applyNumberFormat="1" applyFont="1" applyBorder="1" applyAlignment="1">
      <alignment horizontal="center" vertical="center"/>
    </xf>
    <xf numFmtId="164" fontId="35" fillId="0" borderId="13" xfId="42" applyNumberFormat="1" applyFont="1" applyBorder="1" applyAlignment="1">
      <alignment horizontal="center" vertical="center"/>
    </xf>
    <xf numFmtId="164" fontId="35" fillId="0" borderId="10" xfId="42" applyNumberFormat="1" applyFont="1" applyBorder="1" applyAlignment="1">
      <alignment horizontal="center" vertical="top"/>
    </xf>
    <xf numFmtId="164" fontId="35" fillId="0" borderId="12" xfId="42" applyNumberFormat="1" applyFont="1" applyBorder="1" applyAlignment="1">
      <alignment horizontal="center" vertical="top"/>
    </xf>
    <xf numFmtId="164" fontId="35" fillId="0" borderId="13" xfId="42" applyNumberFormat="1" applyFont="1" applyBorder="1" applyAlignment="1">
      <alignment horizontal="center" vertical="top"/>
    </xf>
    <xf numFmtId="0" fontId="35" fillId="33" borderId="10" xfId="0" applyFont="1" applyFill="1" applyBorder="1" applyAlignment="1">
      <alignment horizontal="center" vertical="top" wrapText="1"/>
    </xf>
    <xf numFmtId="0" fontId="35" fillId="33" borderId="12" xfId="0" applyFont="1" applyFill="1" applyBorder="1" applyAlignment="1">
      <alignment horizontal="center" vertical="top" wrapText="1"/>
    </xf>
    <xf numFmtId="0" fontId="35" fillId="33" borderId="13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33" borderId="10" xfId="0" applyFont="1" applyFill="1" applyBorder="1" applyAlignment="1">
      <alignment horizontal="left" vertical="top" wrapText="1"/>
    </xf>
    <xf numFmtId="0" fontId="35" fillId="33" borderId="12" xfId="0" applyFont="1" applyFill="1" applyBorder="1" applyAlignment="1">
      <alignment horizontal="left" vertical="top" wrapText="1"/>
    </xf>
    <xf numFmtId="0" fontId="35" fillId="33" borderId="13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3" fontId="35" fillId="0" borderId="10" xfId="0" applyNumberFormat="1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center" vertical="top" wrapText="1"/>
    </xf>
    <xf numFmtId="3" fontId="35" fillId="0" borderId="13" xfId="0" applyNumberFormat="1" applyFont="1" applyBorder="1" applyAlignment="1">
      <alignment horizontal="center" vertical="top" wrapText="1"/>
    </xf>
    <xf numFmtId="0" fontId="37" fillId="10" borderId="21" xfId="0" applyFont="1" applyFill="1" applyBorder="1" applyAlignment="1">
      <alignment horizontal="center" vertical="center" wrapText="1"/>
    </xf>
    <xf numFmtId="0" fontId="37" fillId="10" borderId="40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/>
    </xf>
    <xf numFmtId="0" fontId="35" fillId="33" borderId="12" xfId="0" applyNumberFormat="1" applyFont="1" applyFill="1" applyBorder="1" applyAlignment="1">
      <alignment horizontal="center" vertical="center"/>
    </xf>
    <xf numFmtId="0" fontId="35" fillId="33" borderId="13" xfId="0" applyNumberFormat="1" applyFont="1" applyFill="1" applyBorder="1" applyAlignment="1">
      <alignment horizontal="center" vertical="center"/>
    </xf>
    <xf numFmtId="3" fontId="35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7" fontId="35" fillId="0" borderId="10" xfId="42" applyNumberFormat="1" applyFont="1" applyBorder="1" applyAlignment="1">
      <alignment horizontal="center" vertical="center"/>
    </xf>
    <xf numFmtId="37" fontId="0" fillId="0" borderId="13" xfId="42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top"/>
    </xf>
    <xf numFmtId="3" fontId="35" fillId="0" borderId="13" xfId="0" applyNumberFormat="1" applyFont="1" applyBorder="1" applyAlignment="1">
      <alignment horizontal="center" vertical="top"/>
    </xf>
    <xf numFmtId="37" fontId="35" fillId="0" borderId="13" xfId="42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0" fillId="0" borderId="4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view="pageBreakPreview" zoomScale="90" zoomScaleNormal="90" zoomScaleSheetLayoutView="90" zoomScalePageLayoutView="0" workbookViewId="0" topLeftCell="A4">
      <selection activeCell="C16" sqref="C16:C17"/>
    </sheetView>
  </sheetViews>
  <sheetFormatPr defaultColWidth="9.140625" defaultRowHeight="15"/>
  <cols>
    <col min="1" max="1" width="20.28125" style="0" customWidth="1"/>
    <col min="2" max="2" width="16.28125" style="0" customWidth="1"/>
    <col min="4" max="4" width="11.57421875" style="36" customWidth="1"/>
    <col min="5" max="5" width="11.140625" style="0" customWidth="1"/>
    <col min="6" max="6" width="11.00390625" style="0" customWidth="1"/>
    <col min="8" max="8" width="9.57421875" style="0" bestFit="1" customWidth="1"/>
    <col min="9" max="9" width="11.8515625" style="0" customWidth="1"/>
    <col min="10" max="10" width="11.140625" style="0" bestFit="1" customWidth="1"/>
    <col min="11" max="11" width="42.421875" style="0" customWidth="1"/>
    <col min="12" max="12" width="12.421875" style="0" customWidth="1"/>
    <col min="13" max="13" width="14.57421875" style="0" customWidth="1"/>
    <col min="14" max="14" width="14.00390625" style="0" customWidth="1"/>
    <col min="15" max="15" width="9.421875" style="0" customWidth="1"/>
    <col min="16" max="16" width="14.8515625" style="0" customWidth="1"/>
    <col min="17" max="17" width="11.0039062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3">
        <v>1</v>
      </c>
      <c r="B7" s="3">
        <v>2</v>
      </c>
      <c r="C7" s="3">
        <v>3</v>
      </c>
      <c r="D7" s="200">
        <v>4</v>
      </c>
      <c r="E7" s="417">
        <v>5</v>
      </c>
      <c r="F7" s="419"/>
      <c r="G7" s="3">
        <v>6</v>
      </c>
      <c r="H7" s="3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3" t="s">
        <v>21</v>
      </c>
      <c r="P7" s="3">
        <v>15</v>
      </c>
      <c r="Q7" s="4">
        <v>16</v>
      </c>
      <c r="R7" s="5"/>
      <c r="S7" s="5"/>
    </row>
    <row r="8" spans="1:17" s="17" customFormat="1" ht="20.25" customHeight="1">
      <c r="A8" s="210" t="s">
        <v>25</v>
      </c>
      <c r="B8" s="21" t="s">
        <v>26</v>
      </c>
      <c r="C8" s="420">
        <v>20000</v>
      </c>
      <c r="D8" s="10" t="s">
        <v>22</v>
      </c>
      <c r="E8" s="11">
        <v>606.6</v>
      </c>
      <c r="F8" s="12">
        <v>24.33</v>
      </c>
      <c r="G8" s="422">
        <v>2007</v>
      </c>
      <c r="H8" s="422">
        <f>SUM(I8:I9)</f>
        <v>5378</v>
      </c>
      <c r="I8" s="13">
        <v>1308</v>
      </c>
      <c r="J8" s="14">
        <v>0</v>
      </c>
      <c r="K8" s="15"/>
      <c r="L8" s="15"/>
      <c r="M8" s="15"/>
      <c r="N8" s="15"/>
      <c r="O8" s="16">
        <f>I8-J8</f>
        <v>1308</v>
      </c>
      <c r="P8" s="425"/>
      <c r="Q8" s="425" t="s">
        <v>87</v>
      </c>
    </row>
    <row r="9" spans="1:17" s="17" customFormat="1" ht="15">
      <c r="A9" s="18"/>
      <c r="B9" s="19" t="s">
        <v>95</v>
      </c>
      <c r="C9" s="421"/>
      <c r="D9" s="10" t="s">
        <v>24</v>
      </c>
      <c r="E9" s="11">
        <v>1886.5300000000002</v>
      </c>
      <c r="F9" s="12">
        <v>75.67</v>
      </c>
      <c r="G9" s="423"/>
      <c r="H9" s="424"/>
      <c r="I9" s="13">
        <v>4070</v>
      </c>
      <c r="J9" s="14">
        <v>0</v>
      </c>
      <c r="K9" s="15"/>
      <c r="L9" s="15"/>
      <c r="M9" s="15"/>
      <c r="N9" s="15"/>
      <c r="O9" s="16">
        <f>I9-J9</f>
        <v>4070</v>
      </c>
      <c r="P9" s="426"/>
      <c r="Q9" s="426"/>
    </row>
    <row r="10" spans="1:17" s="17" customFormat="1" ht="15">
      <c r="A10" s="20"/>
      <c r="B10" s="21"/>
      <c r="C10" s="428">
        <v>20000</v>
      </c>
      <c r="D10" s="10" t="s">
        <v>22</v>
      </c>
      <c r="E10" s="11">
        <v>606.6</v>
      </c>
      <c r="F10" s="12">
        <v>24.33</v>
      </c>
      <c r="G10" s="430">
        <v>2008</v>
      </c>
      <c r="H10" s="430">
        <f>SUM(I10:I11)</f>
        <v>20000</v>
      </c>
      <c r="I10" s="13">
        <v>4866</v>
      </c>
      <c r="J10" s="22">
        <v>0</v>
      </c>
      <c r="K10" s="23"/>
      <c r="L10" s="22"/>
      <c r="M10" s="24"/>
      <c r="N10" s="24"/>
      <c r="O10" s="13">
        <f aca="true" t="shared" si="0" ref="O10:O19">I10-J10</f>
        <v>4866</v>
      </c>
      <c r="P10" s="426"/>
      <c r="Q10" s="426"/>
    </row>
    <row r="11" spans="1:17" s="17" customFormat="1" ht="15">
      <c r="A11" s="25"/>
      <c r="B11" s="21"/>
      <c r="C11" s="429"/>
      <c r="D11" s="10" t="s">
        <v>24</v>
      </c>
      <c r="E11" s="11">
        <v>1886.5300000000002</v>
      </c>
      <c r="F11" s="12">
        <v>75.67</v>
      </c>
      <c r="G11" s="431"/>
      <c r="H11" s="432"/>
      <c r="I11" s="13">
        <v>15134</v>
      </c>
      <c r="J11" s="22">
        <v>0</v>
      </c>
      <c r="K11" s="23"/>
      <c r="L11" s="22"/>
      <c r="M11" s="24"/>
      <c r="N11" s="24"/>
      <c r="O11" s="13">
        <f t="shared" si="0"/>
        <v>15134</v>
      </c>
      <c r="P11" s="426"/>
      <c r="Q11" s="426"/>
    </row>
    <row r="12" spans="1:17" s="17" customFormat="1" ht="15">
      <c r="A12" s="18"/>
      <c r="B12" s="21"/>
      <c r="C12" s="428">
        <v>20000</v>
      </c>
      <c r="D12" s="10" t="s">
        <v>22</v>
      </c>
      <c r="E12" s="11">
        <v>606.6</v>
      </c>
      <c r="F12" s="12">
        <v>24.33</v>
      </c>
      <c r="G12" s="430">
        <v>2009</v>
      </c>
      <c r="H12" s="430">
        <f>SUM(I12:I13)</f>
        <v>20000</v>
      </c>
      <c r="I12" s="13">
        <v>4866</v>
      </c>
      <c r="J12" s="22">
        <v>0</v>
      </c>
      <c r="K12" s="23"/>
      <c r="L12" s="22"/>
      <c r="M12" s="24"/>
      <c r="N12" s="24"/>
      <c r="O12" s="13">
        <f t="shared" si="0"/>
        <v>4866</v>
      </c>
      <c r="P12" s="426"/>
      <c r="Q12" s="426"/>
    </row>
    <row r="13" spans="1:17" s="17" customFormat="1" ht="15">
      <c r="A13" s="18"/>
      <c r="B13" s="21"/>
      <c r="C13" s="429"/>
      <c r="D13" s="10" t="s">
        <v>24</v>
      </c>
      <c r="E13" s="11">
        <v>1886.5300000000002</v>
      </c>
      <c r="F13" s="12">
        <v>75.67</v>
      </c>
      <c r="G13" s="431"/>
      <c r="H13" s="432"/>
      <c r="I13" s="13">
        <v>15134</v>
      </c>
      <c r="J13" s="22">
        <v>0</v>
      </c>
      <c r="K13" s="23"/>
      <c r="L13" s="22"/>
      <c r="M13" s="24"/>
      <c r="N13" s="24"/>
      <c r="O13" s="13">
        <f t="shared" si="0"/>
        <v>15134</v>
      </c>
      <c r="P13" s="426"/>
      <c r="Q13" s="426"/>
    </row>
    <row r="14" spans="1:17" s="17" customFormat="1" ht="15">
      <c r="A14" s="18"/>
      <c r="B14" s="21"/>
      <c r="C14" s="428">
        <v>20000</v>
      </c>
      <c r="D14" s="10" t="s">
        <v>22</v>
      </c>
      <c r="E14" s="11">
        <v>606.6</v>
      </c>
      <c r="F14" s="12">
        <v>24.33</v>
      </c>
      <c r="G14" s="430">
        <v>2010</v>
      </c>
      <c r="H14" s="430">
        <f>SUM(I14:I15)</f>
        <v>20000</v>
      </c>
      <c r="I14" s="13">
        <v>4866</v>
      </c>
      <c r="J14" s="22">
        <v>0</v>
      </c>
      <c r="K14" s="23"/>
      <c r="L14" s="22"/>
      <c r="M14" s="24"/>
      <c r="N14" s="24"/>
      <c r="O14" s="13">
        <f t="shared" si="0"/>
        <v>4866</v>
      </c>
      <c r="P14" s="426"/>
      <c r="Q14" s="426"/>
    </row>
    <row r="15" spans="1:17" s="17" customFormat="1" ht="15">
      <c r="A15" s="18"/>
      <c r="B15" s="21"/>
      <c r="C15" s="429"/>
      <c r="D15" s="10" t="s">
        <v>24</v>
      </c>
      <c r="E15" s="11">
        <v>1886.5300000000002</v>
      </c>
      <c r="F15" s="12">
        <v>75.67</v>
      </c>
      <c r="G15" s="431"/>
      <c r="H15" s="432"/>
      <c r="I15" s="13">
        <v>15134</v>
      </c>
      <c r="J15" s="22">
        <v>0</v>
      </c>
      <c r="K15" s="23"/>
      <c r="L15" s="22"/>
      <c r="M15" s="24"/>
      <c r="N15" s="24"/>
      <c r="O15" s="13">
        <f t="shared" si="0"/>
        <v>15134</v>
      </c>
      <c r="P15" s="426"/>
      <c r="Q15" s="426"/>
    </row>
    <row r="16" spans="1:17" s="17" customFormat="1" ht="15">
      <c r="A16" s="18"/>
      <c r="B16" s="21"/>
      <c r="C16" s="428">
        <v>20000</v>
      </c>
      <c r="D16" s="10" t="s">
        <v>22</v>
      </c>
      <c r="E16" s="11">
        <v>606.6</v>
      </c>
      <c r="F16" s="12">
        <v>24.33</v>
      </c>
      <c r="G16" s="430">
        <v>2011</v>
      </c>
      <c r="H16" s="430">
        <f>SUM(I16:I17)</f>
        <v>20000</v>
      </c>
      <c r="I16" s="13">
        <v>4866</v>
      </c>
      <c r="J16" s="22">
        <v>0</v>
      </c>
      <c r="K16" s="23"/>
      <c r="L16" s="22"/>
      <c r="M16" s="24"/>
      <c r="N16" s="24"/>
      <c r="O16" s="13">
        <f t="shared" si="0"/>
        <v>4866</v>
      </c>
      <c r="P16" s="426"/>
      <c r="Q16" s="426"/>
    </row>
    <row r="17" spans="1:17" s="17" customFormat="1" ht="15">
      <c r="A17" s="18"/>
      <c r="B17" s="21"/>
      <c r="C17" s="429"/>
      <c r="D17" s="10" t="s">
        <v>24</v>
      </c>
      <c r="E17" s="11">
        <v>1886.5300000000002</v>
      </c>
      <c r="F17" s="12">
        <v>75.67</v>
      </c>
      <c r="G17" s="431"/>
      <c r="H17" s="432"/>
      <c r="I17" s="13">
        <v>15134</v>
      </c>
      <c r="J17" s="22">
        <v>0</v>
      </c>
      <c r="K17" s="23"/>
      <c r="L17" s="22"/>
      <c r="M17" s="24"/>
      <c r="N17" s="24"/>
      <c r="O17" s="13">
        <f t="shared" si="0"/>
        <v>15134</v>
      </c>
      <c r="P17" s="426"/>
      <c r="Q17" s="426"/>
    </row>
    <row r="18" spans="1:17" s="17" customFormat="1" ht="15">
      <c r="A18" s="18"/>
      <c r="B18" s="21"/>
      <c r="C18" s="428">
        <v>20000</v>
      </c>
      <c r="D18" s="10" t="s">
        <v>22</v>
      </c>
      <c r="E18" s="11">
        <v>606.6</v>
      </c>
      <c r="F18" s="12">
        <v>24.33</v>
      </c>
      <c r="G18" s="430">
        <v>2012</v>
      </c>
      <c r="H18" s="430">
        <v>23333</v>
      </c>
      <c r="I18" s="28">
        <f>H18*0.2433</f>
        <v>5676.9189</v>
      </c>
      <c r="J18" s="22">
        <v>0</v>
      </c>
      <c r="K18" s="23"/>
      <c r="L18" s="22"/>
      <c r="M18" s="24"/>
      <c r="N18" s="24"/>
      <c r="O18" s="13">
        <f t="shared" si="0"/>
        <v>5676.9189</v>
      </c>
      <c r="P18" s="426"/>
      <c r="Q18" s="426"/>
    </row>
    <row r="19" spans="1:17" s="17" customFormat="1" ht="15">
      <c r="A19" s="211"/>
      <c r="B19" s="21"/>
      <c r="C19" s="429"/>
      <c r="D19" s="10" t="s">
        <v>24</v>
      </c>
      <c r="E19" s="11">
        <v>1886.5300000000002</v>
      </c>
      <c r="F19" s="12">
        <v>75.67</v>
      </c>
      <c r="G19" s="431"/>
      <c r="H19" s="432"/>
      <c r="I19" s="28">
        <f>H18*0.7567</f>
        <v>17656.0811</v>
      </c>
      <c r="J19" s="22">
        <v>0</v>
      </c>
      <c r="K19" s="23"/>
      <c r="L19" s="22"/>
      <c r="M19" s="24"/>
      <c r="N19" s="24"/>
      <c r="O19" s="13">
        <f t="shared" si="0"/>
        <v>17656.0811</v>
      </c>
      <c r="P19" s="426"/>
      <c r="Q19" s="426"/>
    </row>
    <row r="20" spans="1:17" s="17" customFormat="1" ht="15">
      <c r="A20" s="18"/>
      <c r="B20" s="21"/>
      <c r="C20" s="433">
        <v>30000</v>
      </c>
      <c r="D20" s="26" t="s">
        <v>22</v>
      </c>
      <c r="E20" s="11">
        <v>606.6</v>
      </c>
      <c r="F20" s="27">
        <v>24.33</v>
      </c>
      <c r="G20" s="435">
        <v>2013</v>
      </c>
      <c r="H20" s="435">
        <v>22000</v>
      </c>
      <c r="I20" s="28">
        <f>H20*0.2433</f>
        <v>5352.599999999999</v>
      </c>
      <c r="J20" s="28">
        <v>0</v>
      </c>
      <c r="K20" s="61"/>
      <c r="L20" s="14"/>
      <c r="M20" s="29"/>
      <c r="N20" s="29"/>
      <c r="O20" s="13">
        <f>I20-J20</f>
        <v>5352.599999999999</v>
      </c>
      <c r="P20" s="426"/>
      <c r="Q20" s="426"/>
    </row>
    <row r="21" spans="1:17" s="17" customFormat="1" ht="15">
      <c r="A21" s="30"/>
      <c r="B21" s="30"/>
      <c r="C21" s="434"/>
      <c r="D21" s="212" t="s">
        <v>24</v>
      </c>
      <c r="E21" s="11">
        <v>1886.5300000000002</v>
      </c>
      <c r="F21" s="27">
        <v>75.67</v>
      </c>
      <c r="G21" s="436"/>
      <c r="H21" s="437"/>
      <c r="I21" s="28">
        <f>H20*0.7567</f>
        <v>16647.4</v>
      </c>
      <c r="J21" s="22">
        <v>0</v>
      </c>
      <c r="K21" s="23"/>
      <c r="L21" s="14"/>
      <c r="M21" s="29"/>
      <c r="N21" s="29"/>
      <c r="O21" s="13">
        <f>I21-J21</f>
        <v>16647.4</v>
      </c>
      <c r="P21" s="427"/>
      <c r="Q21" s="427"/>
    </row>
    <row r="22" spans="1:17" s="17" customFormat="1" ht="15">
      <c r="A22" s="62"/>
      <c r="B22" s="62" t="s">
        <v>27</v>
      </c>
      <c r="C22" s="63"/>
      <c r="D22" s="64"/>
      <c r="E22" s="65"/>
      <c r="F22" s="65"/>
      <c r="G22" s="66"/>
      <c r="H22" s="67">
        <f>SUM(H8:H21)</f>
        <v>130711</v>
      </c>
      <c r="I22" s="67">
        <f>SUM(I8:I21)</f>
        <v>130711</v>
      </c>
      <c r="J22" s="67">
        <f>SUM(J8:J21)</f>
        <v>0</v>
      </c>
      <c r="K22" s="67"/>
      <c r="L22" s="67"/>
      <c r="M22" s="67"/>
      <c r="N22" s="67"/>
      <c r="O22" s="67">
        <f>SUM(O8:O21)</f>
        <v>130711</v>
      </c>
      <c r="P22" s="62"/>
      <c r="Q22" s="62"/>
    </row>
    <row r="23" spans="1:17" ht="15.75" thickBot="1">
      <c r="A23" s="31" t="s">
        <v>110</v>
      </c>
      <c r="B23" s="32"/>
      <c r="C23" s="33"/>
      <c r="D23" s="34"/>
      <c r="E23" s="32"/>
      <c r="F23" s="32"/>
      <c r="G23" s="32"/>
      <c r="H23" s="32"/>
      <c r="I23" s="35"/>
      <c r="J23" s="32"/>
      <c r="K23" s="32"/>
      <c r="L23" s="32"/>
      <c r="M23" s="32"/>
      <c r="N23" s="32"/>
      <c r="O23" s="32"/>
      <c r="P23" s="32"/>
      <c r="Q23" s="32"/>
    </row>
    <row r="24" spans="3:12" ht="15" customHeight="1">
      <c r="C24" s="51"/>
      <c r="D24" s="398" t="s">
        <v>78</v>
      </c>
      <c r="E24" s="394" t="s">
        <v>75</v>
      </c>
      <c r="F24" s="394"/>
      <c r="G24" s="400"/>
      <c r="H24" s="400"/>
      <c r="I24" s="402" t="s">
        <v>76</v>
      </c>
      <c r="J24" s="404" t="s">
        <v>77</v>
      </c>
      <c r="K24" s="394" t="s">
        <v>79</v>
      </c>
      <c r="L24" s="396" t="s">
        <v>80</v>
      </c>
    </row>
    <row r="25" spans="3:12" ht="15">
      <c r="C25" s="51"/>
      <c r="D25" s="399"/>
      <c r="E25" s="250" t="s">
        <v>81</v>
      </c>
      <c r="F25" s="250" t="s">
        <v>18</v>
      </c>
      <c r="G25" s="401"/>
      <c r="H25" s="401"/>
      <c r="I25" s="403"/>
      <c r="J25" s="405"/>
      <c r="K25" s="395"/>
      <c r="L25" s="397"/>
    </row>
    <row r="26" spans="3:12" ht="15">
      <c r="C26" s="249"/>
      <c r="D26" s="252" t="s">
        <v>22</v>
      </c>
      <c r="E26" s="248">
        <v>606.6</v>
      </c>
      <c r="F26" s="248">
        <v>24.33</v>
      </c>
      <c r="G26" s="251"/>
      <c r="H26" s="251"/>
      <c r="I26" s="150">
        <f>SUM(I20,I18,I16,I14,I12,I10,I8)</f>
        <v>31801.5189</v>
      </c>
      <c r="J26" s="151">
        <v>0</v>
      </c>
      <c r="K26" s="150">
        <v>28882</v>
      </c>
      <c r="L26" s="253">
        <f>I26-J26-K26</f>
        <v>2919.518899999999</v>
      </c>
    </row>
    <row r="27" spans="3:12" ht="15">
      <c r="C27" s="51"/>
      <c r="D27" s="252" t="s">
        <v>24</v>
      </c>
      <c r="E27" s="248">
        <v>1886.5300000000002</v>
      </c>
      <c r="F27" s="248">
        <v>75.67</v>
      </c>
      <c r="G27" s="221"/>
      <c r="H27" s="221"/>
      <c r="I27" s="150">
        <f>SUM(I21,I19,I17,I15,I13,I11,I9)</f>
        <v>98909.4811</v>
      </c>
      <c r="J27" s="37">
        <v>0</v>
      </c>
      <c r="K27" s="221"/>
      <c r="L27" s="253">
        <f>I27-J27-K27</f>
        <v>98909.4811</v>
      </c>
    </row>
    <row r="28" spans="4:15" ht="15.75" thickBot="1">
      <c r="D28" s="254" t="s">
        <v>27</v>
      </c>
      <c r="E28" s="235"/>
      <c r="F28" s="235"/>
      <c r="G28" s="235"/>
      <c r="H28" s="235"/>
      <c r="I28" s="255">
        <f>SUM(I26:I27)</f>
        <v>130711</v>
      </c>
      <c r="J28" s="255">
        <f>SUM(J26:J27)</f>
        <v>0</v>
      </c>
      <c r="K28" s="255">
        <f>SUM(K26:K27)</f>
        <v>28882</v>
      </c>
      <c r="L28" s="256">
        <f>SUM(L26:L27)</f>
        <v>101829</v>
      </c>
      <c r="O28" s="38"/>
    </row>
    <row r="126" spans="1:17" ht="15">
      <c r="A126" s="39"/>
      <c r="B126" s="39"/>
      <c r="C126" s="39"/>
      <c r="D126" s="40"/>
      <c r="E126" s="39"/>
      <c r="F126" s="39"/>
      <c r="G126" s="39"/>
      <c r="H126" s="41"/>
      <c r="I126" s="42"/>
      <c r="J126" s="41"/>
      <c r="K126" s="41"/>
      <c r="L126" s="39"/>
      <c r="M126" s="39"/>
      <c r="N126" s="39"/>
      <c r="O126" s="41"/>
      <c r="P126" s="39"/>
      <c r="Q126" s="39"/>
    </row>
    <row r="148" ht="15">
      <c r="K148" s="43"/>
    </row>
    <row r="149" ht="15">
      <c r="K149" s="43"/>
    </row>
    <row r="182" spans="1:17" s="51" customFormat="1" ht="17.25" customHeight="1">
      <c r="A182" s="44"/>
      <c r="B182" s="44"/>
      <c r="C182" s="45"/>
      <c r="D182" s="45"/>
      <c r="E182" s="45"/>
      <c r="F182" s="45"/>
      <c r="G182" s="46"/>
      <c r="H182" s="47"/>
      <c r="I182" s="47"/>
      <c r="J182" s="48"/>
      <c r="K182" s="49"/>
      <c r="L182" s="49"/>
      <c r="M182" s="49"/>
      <c r="N182" s="49"/>
      <c r="O182" s="47"/>
      <c r="P182" s="50"/>
      <c r="Q182" s="50"/>
    </row>
    <row r="183" spans="1:17" s="60" customFormat="1" ht="18.75">
      <c r="A183" s="52"/>
      <c r="B183" s="52"/>
      <c r="C183" s="53"/>
      <c r="D183" s="54"/>
      <c r="E183" s="53"/>
      <c r="F183" s="53"/>
      <c r="G183" s="53"/>
      <c r="H183" s="55"/>
      <c r="I183" s="56"/>
      <c r="J183" s="55"/>
      <c r="K183" s="57"/>
      <c r="L183" s="57"/>
      <c r="M183" s="57"/>
      <c r="N183" s="57"/>
      <c r="O183" s="55"/>
      <c r="P183" s="58"/>
      <c r="Q183" s="59"/>
    </row>
  </sheetData>
  <sheetProtection/>
  <mergeCells count="49">
    <mergeCell ref="C20:C21"/>
    <mergeCell ref="G20:G21"/>
    <mergeCell ref="H20:H21"/>
    <mergeCell ref="C16:C17"/>
    <mergeCell ref="G16:G17"/>
    <mergeCell ref="H16:H17"/>
    <mergeCell ref="C18:C19"/>
    <mergeCell ref="G18:G19"/>
    <mergeCell ref="H18:H19"/>
    <mergeCell ref="C12:C13"/>
    <mergeCell ref="G12:G13"/>
    <mergeCell ref="H12:H13"/>
    <mergeCell ref="C14:C15"/>
    <mergeCell ref="G14:G15"/>
    <mergeCell ref="H14:H15"/>
    <mergeCell ref="Q5:Q6"/>
    <mergeCell ref="E7:F7"/>
    <mergeCell ref="C8:C9"/>
    <mergeCell ref="G8:G9"/>
    <mergeCell ref="H8:H9"/>
    <mergeCell ref="P8:P21"/>
    <mergeCell ref="Q8:Q21"/>
    <mergeCell ref="C10:C11"/>
    <mergeCell ref="G10:G11"/>
    <mergeCell ref="H10:H11"/>
    <mergeCell ref="K5:K6"/>
    <mergeCell ref="L5:L6"/>
    <mergeCell ref="M5:M6"/>
    <mergeCell ref="N5:N6"/>
    <mergeCell ref="O5:O6"/>
    <mergeCell ref="P5:P6"/>
    <mergeCell ref="A1:Q2"/>
    <mergeCell ref="A4:A6"/>
    <mergeCell ref="B4:B6"/>
    <mergeCell ref="C4:C6"/>
    <mergeCell ref="D4:D6"/>
    <mergeCell ref="E4:F5"/>
    <mergeCell ref="G4:Q4"/>
    <mergeCell ref="G5:H5"/>
    <mergeCell ref="I5:I6"/>
    <mergeCell ref="J5:J6"/>
    <mergeCell ref="K24:K25"/>
    <mergeCell ref="L24:L25"/>
    <mergeCell ref="D24:D25"/>
    <mergeCell ref="E24:F24"/>
    <mergeCell ref="G24:G25"/>
    <mergeCell ref="H24:H25"/>
    <mergeCell ref="I24:I25"/>
    <mergeCell ref="J24:J25"/>
  </mergeCells>
  <printOptions/>
  <pageMargins left="0.55" right="0.95" top="0.75" bottom="0.75" header="0.3" footer="0.3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tabSelected="1" view="pageBreakPreview" zoomScale="90" zoomScaleSheetLayoutView="90" zoomScalePageLayoutView="0" workbookViewId="0" topLeftCell="A55">
      <selection activeCell="G70" sqref="G70"/>
    </sheetView>
  </sheetViews>
  <sheetFormatPr defaultColWidth="9.140625" defaultRowHeight="15"/>
  <cols>
    <col min="1" max="1" width="17.57421875" style="0" customWidth="1"/>
    <col min="2" max="2" width="14.00390625" style="0" customWidth="1"/>
    <col min="4" max="4" width="11.00390625" style="0" customWidth="1"/>
    <col min="7" max="7" width="13.57421875" style="0" customWidth="1"/>
    <col min="10" max="10" width="11.140625" style="0" customWidth="1"/>
    <col min="11" max="11" width="31.421875" style="0" customWidth="1"/>
    <col min="12" max="12" width="10.7109375" style="0" customWidth="1"/>
    <col min="13" max="13" width="13.00390625" style="0" customWidth="1"/>
    <col min="14" max="14" width="12.00390625" style="0" customWidth="1"/>
    <col min="15" max="15" width="10.57421875" style="0" customWidth="1"/>
    <col min="16" max="16" width="11.140625" style="0" customWidth="1"/>
    <col min="17" max="17" width="11.8515625" style="0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37.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63">
      <c r="A8" s="100" t="s">
        <v>60</v>
      </c>
      <c r="B8" s="179" t="s">
        <v>61</v>
      </c>
      <c r="C8" s="70"/>
      <c r="D8" s="152"/>
      <c r="E8" s="70"/>
      <c r="F8" s="153"/>
      <c r="G8" s="153" t="s">
        <v>62</v>
      </c>
      <c r="H8" s="70"/>
      <c r="I8" s="225"/>
      <c r="J8" s="70"/>
      <c r="K8" s="77"/>
      <c r="L8" s="153"/>
      <c r="M8" s="154"/>
      <c r="N8" s="154"/>
      <c r="O8" s="70">
        <f>H8-J8</f>
        <v>0</v>
      </c>
      <c r="P8" s="153"/>
      <c r="Q8" s="70"/>
    </row>
    <row r="9" spans="1:17" ht="15.75">
      <c r="A9" s="180"/>
      <c r="B9" s="368">
        <v>43802</v>
      </c>
      <c r="C9" s="70">
        <v>28333</v>
      </c>
      <c r="D9" s="93" t="s">
        <v>56</v>
      </c>
      <c r="E9" s="70">
        <v>61.94</v>
      </c>
      <c r="F9" s="98">
        <v>50.341352405721715</v>
      </c>
      <c r="G9" s="508">
        <v>2002</v>
      </c>
      <c r="H9" s="467">
        <f>28333+81091</f>
        <v>109424</v>
      </c>
      <c r="I9" s="225">
        <f>H9/100*F9</f>
        <v>55085.52145643693</v>
      </c>
      <c r="J9" s="70"/>
      <c r="K9" s="232"/>
      <c r="L9" s="226"/>
      <c r="M9" s="69"/>
      <c r="N9" s="69"/>
      <c r="O9" s="70">
        <f>I9-J9</f>
        <v>55085.52145643693</v>
      </c>
      <c r="P9" s="70"/>
      <c r="Q9" s="70"/>
    </row>
    <row r="10" spans="1:17" ht="15.75">
      <c r="A10" s="180"/>
      <c r="B10" s="181"/>
      <c r="C10" s="70"/>
      <c r="D10" s="93" t="s">
        <v>39</v>
      </c>
      <c r="E10" s="70">
        <v>20.31</v>
      </c>
      <c r="F10" s="98">
        <v>16.506827048114435</v>
      </c>
      <c r="G10" s="509"/>
      <c r="H10" s="511"/>
      <c r="I10" s="225">
        <f>H9/100*F10</f>
        <v>18062.43042912874</v>
      </c>
      <c r="J10" s="70"/>
      <c r="K10" s="232"/>
      <c r="L10" s="226"/>
      <c r="M10" s="69"/>
      <c r="N10" s="69"/>
      <c r="O10" s="70">
        <f aca="true" t="shared" si="0" ref="O10:O44">I10-J10</f>
        <v>18062.43042912874</v>
      </c>
      <c r="P10" s="70"/>
      <c r="Q10" s="70"/>
    </row>
    <row r="11" spans="1:17" ht="15.75">
      <c r="A11" s="180"/>
      <c r="B11" s="181"/>
      <c r="C11" s="70"/>
      <c r="D11" s="93" t="s">
        <v>57</v>
      </c>
      <c r="E11" s="70">
        <v>40.790000000000006</v>
      </c>
      <c r="F11" s="98">
        <v>33.151820546163854</v>
      </c>
      <c r="G11" s="510"/>
      <c r="H11" s="468"/>
      <c r="I11" s="225">
        <f>H9/100*F11</f>
        <v>36276.048114434336</v>
      </c>
      <c r="J11" s="70"/>
      <c r="K11" s="232"/>
      <c r="L11" s="226"/>
      <c r="M11" s="69"/>
      <c r="N11" s="69"/>
      <c r="O11" s="70">
        <f t="shared" si="0"/>
        <v>36276.048114434336</v>
      </c>
      <c r="P11" s="70"/>
      <c r="Q11" s="70"/>
    </row>
    <row r="12" spans="1:17" ht="65.25" customHeight="1">
      <c r="A12" s="180"/>
      <c r="B12" s="181"/>
      <c r="C12" s="70">
        <v>20000</v>
      </c>
      <c r="D12" s="93" t="s">
        <v>56</v>
      </c>
      <c r="E12" s="70">
        <v>61.94</v>
      </c>
      <c r="F12" s="98">
        <v>50.341352405721715</v>
      </c>
      <c r="G12" s="508">
        <v>2003</v>
      </c>
      <c r="H12" s="467">
        <v>20000</v>
      </c>
      <c r="I12" s="225">
        <f>H12/100*F12</f>
        <v>10068.270481144344</v>
      </c>
      <c r="J12" s="70"/>
      <c r="K12" s="232"/>
      <c r="L12" s="226"/>
      <c r="M12" s="69"/>
      <c r="N12" s="69"/>
      <c r="O12" s="70">
        <f t="shared" si="0"/>
        <v>10068.270481144344</v>
      </c>
      <c r="P12" s="70"/>
      <c r="Q12" s="70"/>
    </row>
    <row r="13" spans="1:17" ht="65.25" customHeight="1">
      <c r="A13" s="180"/>
      <c r="B13" s="181"/>
      <c r="C13" s="70"/>
      <c r="D13" s="93" t="s">
        <v>39</v>
      </c>
      <c r="E13" s="70">
        <v>20.31</v>
      </c>
      <c r="F13" s="98">
        <v>16.506827048114435</v>
      </c>
      <c r="G13" s="509"/>
      <c r="H13" s="511"/>
      <c r="I13" s="225">
        <f>H12/100*F13</f>
        <v>3301.365409622887</v>
      </c>
      <c r="J13" s="70"/>
      <c r="K13" s="232"/>
      <c r="L13" s="226"/>
      <c r="M13" s="69"/>
      <c r="N13" s="69"/>
      <c r="O13" s="70">
        <f t="shared" si="0"/>
        <v>3301.365409622887</v>
      </c>
      <c r="P13" s="70"/>
      <c r="Q13" s="70"/>
    </row>
    <row r="14" spans="1:17" ht="65.25" customHeight="1">
      <c r="A14" s="180"/>
      <c r="B14" s="181"/>
      <c r="C14" s="70"/>
      <c r="D14" s="93" t="s">
        <v>57</v>
      </c>
      <c r="E14" s="70">
        <v>40.790000000000006</v>
      </c>
      <c r="F14" s="98">
        <v>33.151820546163854</v>
      </c>
      <c r="G14" s="510"/>
      <c r="H14" s="468"/>
      <c r="I14" s="225">
        <f>H12/100*F14</f>
        <v>6630.364109232771</v>
      </c>
      <c r="J14" s="70"/>
      <c r="K14" s="232"/>
      <c r="L14" s="226"/>
      <c r="M14" s="69"/>
      <c r="N14" s="69"/>
      <c r="O14" s="70">
        <f t="shared" si="0"/>
        <v>6630.364109232771</v>
      </c>
      <c r="P14" s="70"/>
      <c r="Q14" s="70"/>
    </row>
    <row r="15" spans="1:17" ht="65.25" customHeight="1">
      <c r="A15" s="180"/>
      <c r="B15" s="181"/>
      <c r="C15" s="70">
        <v>20000</v>
      </c>
      <c r="D15" s="93" t="s">
        <v>56</v>
      </c>
      <c r="E15" s="70">
        <v>61.94</v>
      </c>
      <c r="F15" s="98">
        <v>50.341352405721715</v>
      </c>
      <c r="G15" s="508">
        <v>2004</v>
      </c>
      <c r="H15" s="467">
        <v>20000</v>
      </c>
      <c r="I15" s="225">
        <f>H15/100*F15</f>
        <v>10068.270481144344</v>
      </c>
      <c r="J15" s="70"/>
      <c r="K15" s="232"/>
      <c r="L15" s="226"/>
      <c r="M15" s="69"/>
      <c r="N15" s="69"/>
      <c r="O15" s="70">
        <f t="shared" si="0"/>
        <v>10068.270481144344</v>
      </c>
      <c r="P15" s="70"/>
      <c r="Q15" s="70"/>
    </row>
    <row r="16" spans="1:17" ht="65.25" customHeight="1">
      <c r="A16" s="180"/>
      <c r="B16" s="181"/>
      <c r="C16" s="70"/>
      <c r="D16" s="93" t="s">
        <v>39</v>
      </c>
      <c r="E16" s="70">
        <v>20.31</v>
      </c>
      <c r="F16" s="98">
        <v>16.506827048114435</v>
      </c>
      <c r="G16" s="509"/>
      <c r="H16" s="511"/>
      <c r="I16" s="225">
        <f>H15/100*F16</f>
        <v>3301.365409622887</v>
      </c>
      <c r="J16" s="70"/>
      <c r="K16" s="232"/>
      <c r="L16" s="226"/>
      <c r="M16" s="69"/>
      <c r="N16" s="69"/>
      <c r="O16" s="70">
        <f t="shared" si="0"/>
        <v>3301.365409622887</v>
      </c>
      <c r="P16" s="70"/>
      <c r="Q16" s="70"/>
    </row>
    <row r="17" spans="1:17" ht="65.25" customHeight="1">
      <c r="A17" s="214"/>
      <c r="B17" s="215"/>
      <c r="C17" s="70"/>
      <c r="D17" s="93" t="s">
        <v>57</v>
      </c>
      <c r="E17" s="70">
        <v>40.790000000000006</v>
      </c>
      <c r="F17" s="98">
        <v>33.151820546163854</v>
      </c>
      <c r="G17" s="510"/>
      <c r="H17" s="468"/>
      <c r="I17" s="225">
        <f>H15/100*F17</f>
        <v>6630.364109232771</v>
      </c>
      <c r="J17" s="70"/>
      <c r="K17" s="232"/>
      <c r="L17" s="226"/>
      <c r="M17" s="69"/>
      <c r="N17" s="69"/>
      <c r="O17" s="70">
        <f t="shared" si="0"/>
        <v>6630.364109232771</v>
      </c>
      <c r="P17" s="70"/>
      <c r="Q17" s="70"/>
    </row>
    <row r="18" spans="1:17" ht="60.75" customHeight="1">
      <c r="A18" s="100" t="s">
        <v>60</v>
      </c>
      <c r="B18" s="80"/>
      <c r="C18" s="70">
        <v>20000</v>
      </c>
      <c r="D18" s="93" t="s">
        <v>56</v>
      </c>
      <c r="E18" s="70">
        <v>61.94</v>
      </c>
      <c r="F18" s="98">
        <v>50.341352405721715</v>
      </c>
      <c r="G18" s="508">
        <v>2005</v>
      </c>
      <c r="H18" s="467">
        <v>20000</v>
      </c>
      <c r="I18" s="225">
        <f>H18/100*F18</f>
        <v>10068.270481144344</v>
      </c>
      <c r="J18" s="156"/>
      <c r="K18" s="144"/>
      <c r="L18" s="226"/>
      <c r="M18" s="69"/>
      <c r="N18" s="69"/>
      <c r="O18" s="70">
        <f t="shared" si="0"/>
        <v>10068.270481144344</v>
      </c>
      <c r="P18" s="226"/>
      <c r="Q18" s="226"/>
    </row>
    <row r="19" spans="1:17" ht="60.75" customHeight="1">
      <c r="A19" s="84"/>
      <c r="B19" s="82"/>
      <c r="C19" s="70"/>
      <c r="D19" s="93" t="s">
        <v>39</v>
      </c>
      <c r="E19" s="70">
        <v>20.31</v>
      </c>
      <c r="F19" s="98">
        <v>16.506827048114435</v>
      </c>
      <c r="G19" s="509"/>
      <c r="H19" s="511"/>
      <c r="I19" s="225">
        <f>H18/100*F19</f>
        <v>3301.365409622887</v>
      </c>
      <c r="J19" s="156"/>
      <c r="K19" s="232"/>
      <c r="L19" s="226"/>
      <c r="M19" s="69"/>
      <c r="N19" s="69"/>
      <c r="O19" s="70">
        <f t="shared" si="0"/>
        <v>3301.365409622887</v>
      </c>
      <c r="P19" s="226"/>
      <c r="Q19" s="226"/>
    </row>
    <row r="20" spans="1:17" ht="60.75" customHeight="1">
      <c r="A20" s="84"/>
      <c r="B20" s="82"/>
      <c r="C20" s="70"/>
      <c r="D20" s="93" t="s">
        <v>57</v>
      </c>
      <c r="E20" s="70">
        <v>40.790000000000006</v>
      </c>
      <c r="F20" s="98">
        <v>33.151820546163854</v>
      </c>
      <c r="G20" s="510"/>
      <c r="H20" s="468"/>
      <c r="I20" s="225">
        <f>H18/100*F20</f>
        <v>6630.364109232771</v>
      </c>
      <c r="J20" s="156"/>
      <c r="K20" s="232"/>
      <c r="L20" s="226"/>
      <c r="M20" s="69"/>
      <c r="N20" s="69"/>
      <c r="O20" s="70">
        <f t="shared" si="0"/>
        <v>6630.364109232771</v>
      </c>
      <c r="P20" s="226"/>
      <c r="Q20" s="226"/>
    </row>
    <row r="21" spans="1:17" ht="15.75">
      <c r="A21" s="84"/>
      <c r="B21" s="82"/>
      <c r="C21" s="70">
        <v>20000</v>
      </c>
      <c r="D21" s="93" t="s">
        <v>56</v>
      </c>
      <c r="E21" s="70">
        <v>61.94</v>
      </c>
      <c r="F21" s="98">
        <v>50.341352405721715</v>
      </c>
      <c r="G21" s="508">
        <v>2006</v>
      </c>
      <c r="H21" s="70">
        <v>20000</v>
      </c>
      <c r="I21" s="225">
        <f>H21/100*F21</f>
        <v>10068.270481144344</v>
      </c>
      <c r="J21" s="156"/>
      <c r="K21" s="144"/>
      <c r="L21" s="226"/>
      <c r="M21" s="69"/>
      <c r="N21" s="154"/>
      <c r="O21" s="246">
        <f t="shared" si="0"/>
        <v>10068.270481144344</v>
      </c>
      <c r="P21" s="226"/>
      <c r="Q21" s="226"/>
    </row>
    <row r="22" spans="1:17" ht="15.75">
      <c r="A22" s="84"/>
      <c r="B22" s="82"/>
      <c r="C22" s="70"/>
      <c r="D22" s="93" t="s">
        <v>39</v>
      </c>
      <c r="E22" s="70">
        <v>20.31</v>
      </c>
      <c r="F22" s="98">
        <v>16.506827048114435</v>
      </c>
      <c r="G22" s="439"/>
      <c r="H22" s="70"/>
      <c r="I22" s="225">
        <f>H21/100*F22</f>
        <v>3301.365409622887</v>
      </c>
      <c r="J22" s="156"/>
      <c r="K22" s="232"/>
      <c r="L22" s="226"/>
      <c r="M22" s="69"/>
      <c r="N22" s="69"/>
      <c r="O22" s="70">
        <f t="shared" si="0"/>
        <v>3301.365409622887</v>
      </c>
      <c r="P22" s="226"/>
      <c r="Q22" s="226"/>
    </row>
    <row r="23" spans="1:17" ht="15.75">
      <c r="A23" s="84"/>
      <c r="B23" s="82"/>
      <c r="C23" s="70"/>
      <c r="D23" s="93" t="s">
        <v>57</v>
      </c>
      <c r="E23" s="70">
        <v>40.790000000000006</v>
      </c>
      <c r="F23" s="98">
        <v>33.151820546163854</v>
      </c>
      <c r="G23" s="440"/>
      <c r="H23" s="70"/>
      <c r="I23" s="225">
        <f>H21/100*F23</f>
        <v>6630.364109232771</v>
      </c>
      <c r="J23" s="156"/>
      <c r="K23" s="232"/>
      <c r="L23" s="226"/>
      <c r="M23" s="69"/>
      <c r="N23" s="69"/>
      <c r="O23" s="70">
        <f t="shared" si="0"/>
        <v>6630.364109232771</v>
      </c>
      <c r="P23" s="226"/>
      <c r="Q23" s="226"/>
    </row>
    <row r="24" spans="1:17" ht="15.75">
      <c r="A24" s="84"/>
      <c r="B24" s="82"/>
      <c r="C24" s="70">
        <v>20000</v>
      </c>
      <c r="D24" s="93" t="s">
        <v>56</v>
      </c>
      <c r="E24" s="70">
        <v>61.94</v>
      </c>
      <c r="F24" s="98">
        <v>50.341352405721715</v>
      </c>
      <c r="G24" s="508">
        <v>2007</v>
      </c>
      <c r="H24" s="467">
        <v>20000</v>
      </c>
      <c r="I24" s="225">
        <f>H24/100*F24</f>
        <v>10068.270481144344</v>
      </c>
      <c r="J24" s="178"/>
      <c r="K24" s="232"/>
      <c r="L24" s="226"/>
      <c r="M24" s="69"/>
      <c r="N24" s="154"/>
      <c r="O24" s="246">
        <f t="shared" si="0"/>
        <v>10068.270481144344</v>
      </c>
      <c r="P24" s="226"/>
      <c r="Q24" s="226"/>
    </row>
    <row r="25" spans="1:17" ht="47.25" customHeight="1">
      <c r="A25" s="84"/>
      <c r="B25" s="82"/>
      <c r="C25" s="70"/>
      <c r="D25" s="93" t="s">
        <v>39</v>
      </c>
      <c r="E25" s="70">
        <v>20.31</v>
      </c>
      <c r="F25" s="98">
        <v>16.506827048114435</v>
      </c>
      <c r="G25" s="439"/>
      <c r="H25" s="439"/>
      <c r="I25" s="225">
        <f>H24/100*F25</f>
        <v>3301.365409622887</v>
      </c>
      <c r="J25" s="178"/>
      <c r="K25" s="232"/>
      <c r="L25" s="226"/>
      <c r="M25" s="69"/>
      <c r="N25" s="69"/>
      <c r="O25" s="70">
        <f t="shared" si="0"/>
        <v>3301.365409622887</v>
      </c>
      <c r="P25" s="226"/>
      <c r="Q25" s="226"/>
    </row>
    <row r="26" spans="1:17" ht="47.25" customHeight="1">
      <c r="A26" s="84"/>
      <c r="B26" s="82"/>
      <c r="C26" s="70"/>
      <c r="D26" s="93" t="s">
        <v>57</v>
      </c>
      <c r="E26" s="70">
        <v>40.790000000000006</v>
      </c>
      <c r="F26" s="98">
        <v>33.151820546163854</v>
      </c>
      <c r="G26" s="440"/>
      <c r="H26" s="440"/>
      <c r="I26" s="225">
        <f>H24/100*F26</f>
        <v>6630.364109232771</v>
      </c>
      <c r="J26" s="178"/>
      <c r="K26" s="232"/>
      <c r="L26" s="226"/>
      <c r="M26" s="69"/>
      <c r="N26" s="69"/>
      <c r="O26" s="70">
        <f t="shared" si="0"/>
        <v>6630.364109232771</v>
      </c>
      <c r="P26" s="226"/>
      <c r="Q26" s="226"/>
    </row>
    <row r="27" spans="1:17" ht="15.75">
      <c r="A27" s="84"/>
      <c r="B27" s="82"/>
      <c r="C27" s="70">
        <v>20000</v>
      </c>
      <c r="D27" s="93" t="s">
        <v>56</v>
      </c>
      <c r="E27" s="70">
        <v>61.94</v>
      </c>
      <c r="F27" s="98">
        <v>50.341352405721715</v>
      </c>
      <c r="G27" s="508">
        <v>2008</v>
      </c>
      <c r="H27" s="467">
        <v>20000</v>
      </c>
      <c r="I27" s="225">
        <f>H27/100*F27</f>
        <v>10068.270481144344</v>
      </c>
      <c r="J27" s="178"/>
      <c r="K27" s="232"/>
      <c r="L27" s="226"/>
      <c r="M27" s="300"/>
      <c r="N27" s="154"/>
      <c r="O27" s="70">
        <f t="shared" si="0"/>
        <v>10068.270481144344</v>
      </c>
      <c r="P27" s="226"/>
      <c r="Q27" s="226"/>
    </row>
    <row r="28" spans="1:17" ht="47.25" customHeight="1">
      <c r="A28" s="84"/>
      <c r="B28" s="82"/>
      <c r="C28" s="70"/>
      <c r="D28" s="93" t="s">
        <v>39</v>
      </c>
      <c r="E28" s="70">
        <v>20.31</v>
      </c>
      <c r="F28" s="98">
        <v>16.506827048114435</v>
      </c>
      <c r="G28" s="439"/>
      <c r="H28" s="439"/>
      <c r="I28" s="225">
        <f>H27/100*F28</f>
        <v>3301.365409622887</v>
      </c>
      <c r="J28" s="178"/>
      <c r="K28" s="232"/>
      <c r="L28" s="226"/>
      <c r="M28" s="69"/>
      <c r="N28" s="69"/>
      <c r="O28" s="70">
        <f t="shared" si="0"/>
        <v>3301.365409622887</v>
      </c>
      <c r="P28" s="226"/>
      <c r="Q28" s="226"/>
    </row>
    <row r="29" spans="1:17" ht="47.25" customHeight="1">
      <c r="A29" s="121"/>
      <c r="B29" s="159"/>
      <c r="C29" s="70"/>
      <c r="D29" s="93" t="s">
        <v>57</v>
      </c>
      <c r="E29" s="70">
        <v>40.790000000000006</v>
      </c>
      <c r="F29" s="98">
        <v>33.151820546163854</v>
      </c>
      <c r="G29" s="440"/>
      <c r="H29" s="440"/>
      <c r="I29" s="225">
        <f>H27/100*F29</f>
        <v>6630.364109232771</v>
      </c>
      <c r="J29" s="178"/>
      <c r="K29" s="232"/>
      <c r="L29" s="226"/>
      <c r="M29" s="69"/>
      <c r="N29" s="69"/>
      <c r="O29" s="70">
        <f t="shared" si="0"/>
        <v>6630.364109232771</v>
      </c>
      <c r="P29" s="226"/>
      <c r="Q29" s="226"/>
    </row>
    <row r="30" spans="1:17" ht="52.5" customHeight="1">
      <c r="A30" s="100" t="s">
        <v>60</v>
      </c>
      <c r="B30" s="80"/>
      <c r="C30" s="70">
        <v>20000</v>
      </c>
      <c r="D30" s="93" t="s">
        <v>56</v>
      </c>
      <c r="E30" s="70">
        <v>61.94</v>
      </c>
      <c r="F30" s="98">
        <v>50.341352405721715</v>
      </c>
      <c r="G30" s="508">
        <v>2009</v>
      </c>
      <c r="H30" s="467">
        <v>20000</v>
      </c>
      <c r="I30" s="225">
        <f>H30/100*F30</f>
        <v>10068.270481144344</v>
      </c>
      <c r="J30" s="178"/>
      <c r="K30" s="144"/>
      <c r="L30" s="226"/>
      <c r="M30" s="69"/>
      <c r="N30" s="69"/>
      <c r="O30" s="70">
        <f t="shared" si="0"/>
        <v>10068.270481144344</v>
      </c>
      <c r="P30" s="226"/>
      <c r="Q30" s="226"/>
    </row>
    <row r="31" spans="1:17" ht="52.5" customHeight="1">
      <c r="A31" s="84"/>
      <c r="B31" s="82"/>
      <c r="C31" s="70"/>
      <c r="D31" s="93" t="s">
        <v>39</v>
      </c>
      <c r="E31" s="70">
        <v>20.31</v>
      </c>
      <c r="F31" s="98">
        <v>16.506827048114435</v>
      </c>
      <c r="G31" s="439"/>
      <c r="H31" s="439"/>
      <c r="I31" s="225">
        <f>H30/100*F31</f>
        <v>3301.365409622887</v>
      </c>
      <c r="J31" s="178"/>
      <c r="K31" s="232"/>
      <c r="L31" s="226"/>
      <c r="M31" s="69"/>
      <c r="N31" s="69"/>
      <c r="O31" s="70">
        <f t="shared" si="0"/>
        <v>3301.365409622887</v>
      </c>
      <c r="P31" s="226"/>
      <c r="Q31" s="226"/>
    </row>
    <row r="32" spans="1:17" ht="52.5" customHeight="1">
      <c r="A32" s="84"/>
      <c r="B32" s="82"/>
      <c r="C32" s="70"/>
      <c r="D32" s="93" t="s">
        <v>57</v>
      </c>
      <c r="E32" s="70">
        <v>40.790000000000006</v>
      </c>
      <c r="F32" s="98">
        <v>33.151820546163854</v>
      </c>
      <c r="G32" s="440"/>
      <c r="H32" s="440"/>
      <c r="I32" s="225">
        <f>H30/100*F32</f>
        <v>6630.364109232771</v>
      </c>
      <c r="J32" s="178"/>
      <c r="K32" s="232"/>
      <c r="L32" s="226"/>
      <c r="M32" s="69"/>
      <c r="N32" s="69"/>
      <c r="O32" s="70">
        <f t="shared" si="0"/>
        <v>6630.364109232771</v>
      </c>
      <c r="P32" s="226"/>
      <c r="Q32" s="226"/>
    </row>
    <row r="33" spans="1:17" ht="15.75">
      <c r="A33" s="84"/>
      <c r="B33" s="82"/>
      <c r="C33" s="70">
        <v>20000</v>
      </c>
      <c r="D33" s="93" t="s">
        <v>56</v>
      </c>
      <c r="E33" s="70">
        <v>61.94</v>
      </c>
      <c r="F33" s="98">
        <v>50.341352405721715</v>
      </c>
      <c r="G33" s="508">
        <v>2010</v>
      </c>
      <c r="H33" s="467">
        <v>20000</v>
      </c>
      <c r="I33" s="225">
        <f>H33/100*F33</f>
        <v>10068.270481144344</v>
      </c>
      <c r="J33" s="178"/>
      <c r="K33" s="144"/>
      <c r="L33" s="226"/>
      <c r="M33" s="69"/>
      <c r="N33" s="154"/>
      <c r="O33" s="246">
        <f t="shared" si="0"/>
        <v>10068.270481144344</v>
      </c>
      <c r="P33" s="226"/>
      <c r="Q33" s="226"/>
    </row>
    <row r="34" spans="1:17" ht="57" customHeight="1">
      <c r="A34" s="84"/>
      <c r="B34" s="82"/>
      <c r="C34" s="70"/>
      <c r="D34" s="93" t="s">
        <v>39</v>
      </c>
      <c r="E34" s="70">
        <v>20.31</v>
      </c>
      <c r="F34" s="98">
        <v>16.506827048114435</v>
      </c>
      <c r="G34" s="439"/>
      <c r="H34" s="439"/>
      <c r="I34" s="225">
        <f>H33/100*F34</f>
        <v>3301.365409622887</v>
      </c>
      <c r="J34" s="178"/>
      <c r="K34" s="232"/>
      <c r="L34" s="226"/>
      <c r="M34" s="69"/>
      <c r="N34" s="69"/>
      <c r="O34" s="70">
        <f t="shared" si="0"/>
        <v>3301.365409622887</v>
      </c>
      <c r="P34" s="226"/>
      <c r="Q34" s="226"/>
    </row>
    <row r="35" spans="1:17" ht="57" customHeight="1">
      <c r="A35" s="84"/>
      <c r="B35" s="82"/>
      <c r="C35" s="70"/>
      <c r="D35" s="93" t="s">
        <v>57</v>
      </c>
      <c r="E35" s="70">
        <v>40.790000000000006</v>
      </c>
      <c r="F35" s="98">
        <v>33.151820546163854</v>
      </c>
      <c r="G35" s="440"/>
      <c r="H35" s="440"/>
      <c r="I35" s="225">
        <f>H33/100*F35</f>
        <v>6630.364109232771</v>
      </c>
      <c r="J35" s="178"/>
      <c r="K35" s="232"/>
      <c r="L35" s="226"/>
      <c r="M35" s="69"/>
      <c r="N35" s="69"/>
      <c r="O35" s="70">
        <f t="shared" si="0"/>
        <v>6630.364109232771</v>
      </c>
      <c r="P35" s="226"/>
      <c r="Q35" s="226"/>
    </row>
    <row r="36" spans="1:17" ht="15.75">
      <c r="A36" s="84"/>
      <c r="B36" s="82"/>
      <c r="C36" s="70">
        <v>20000</v>
      </c>
      <c r="D36" s="93" t="s">
        <v>56</v>
      </c>
      <c r="E36" s="70">
        <v>61.94</v>
      </c>
      <c r="F36" s="98">
        <v>50.341352405721715</v>
      </c>
      <c r="G36" s="508">
        <v>2011</v>
      </c>
      <c r="H36" s="467">
        <v>20000</v>
      </c>
      <c r="I36" s="225">
        <f>H36/100*F36</f>
        <v>10068.270481144344</v>
      </c>
      <c r="J36" s="178"/>
      <c r="K36" s="144"/>
      <c r="L36" s="226"/>
      <c r="M36" s="300"/>
      <c r="N36" s="154"/>
      <c r="O36" s="70">
        <f t="shared" si="0"/>
        <v>10068.270481144344</v>
      </c>
      <c r="P36" s="226"/>
      <c r="Q36" s="226"/>
    </row>
    <row r="37" spans="1:17" ht="59.25" customHeight="1">
      <c r="A37" s="84"/>
      <c r="B37" s="82"/>
      <c r="C37" s="70"/>
      <c r="D37" s="93" t="s">
        <v>39</v>
      </c>
      <c r="E37" s="70">
        <v>20.31</v>
      </c>
      <c r="F37" s="98">
        <v>16.506827048114435</v>
      </c>
      <c r="G37" s="439"/>
      <c r="H37" s="439"/>
      <c r="I37" s="225">
        <f>H36/100*F37</f>
        <v>3301.365409622887</v>
      </c>
      <c r="J37" s="178"/>
      <c r="K37" s="232"/>
      <c r="L37" s="226"/>
      <c r="M37" s="69"/>
      <c r="N37" s="69"/>
      <c r="O37" s="70">
        <f t="shared" si="0"/>
        <v>3301.365409622887</v>
      </c>
      <c r="P37" s="226"/>
      <c r="Q37" s="226"/>
    </row>
    <row r="38" spans="1:17" ht="59.25" customHeight="1">
      <c r="A38" s="121"/>
      <c r="B38" s="159"/>
      <c r="C38" s="70"/>
      <c r="D38" s="93" t="s">
        <v>57</v>
      </c>
      <c r="E38" s="70">
        <v>40.790000000000006</v>
      </c>
      <c r="F38" s="98">
        <v>33.151820546163854</v>
      </c>
      <c r="G38" s="440"/>
      <c r="H38" s="440"/>
      <c r="I38" s="225">
        <f>H36/100*F38</f>
        <v>6630.364109232771</v>
      </c>
      <c r="J38" s="178"/>
      <c r="K38" s="232"/>
      <c r="L38" s="226"/>
      <c r="M38" s="69"/>
      <c r="N38" s="69"/>
      <c r="O38" s="70">
        <f t="shared" si="0"/>
        <v>6630.364109232771</v>
      </c>
      <c r="P38" s="226"/>
      <c r="Q38" s="226"/>
    </row>
    <row r="39" spans="1:17" ht="47.25" customHeight="1">
      <c r="A39" s="100" t="s">
        <v>60</v>
      </c>
      <c r="B39" s="80"/>
      <c r="C39" s="70">
        <v>20000</v>
      </c>
      <c r="D39" s="93" t="s">
        <v>56</v>
      </c>
      <c r="E39" s="70">
        <v>61.94</v>
      </c>
      <c r="F39" s="98">
        <v>50.341352405721715</v>
      </c>
      <c r="G39" s="508">
        <v>2012</v>
      </c>
      <c r="H39" s="467">
        <v>20000</v>
      </c>
      <c r="I39" s="225">
        <f>H39/100*F39</f>
        <v>10068.270481144344</v>
      </c>
      <c r="J39" s="178"/>
      <c r="K39" s="245"/>
      <c r="L39" s="226"/>
      <c r="M39" s="69"/>
      <c r="N39" s="154"/>
      <c r="O39" s="70">
        <f t="shared" si="0"/>
        <v>10068.270481144344</v>
      </c>
      <c r="P39" s="226"/>
      <c r="Q39" s="226"/>
    </row>
    <row r="40" spans="1:17" ht="47.25" customHeight="1">
      <c r="A40" s="84"/>
      <c r="B40" s="82"/>
      <c r="C40" s="70"/>
      <c r="D40" s="93" t="s">
        <v>39</v>
      </c>
      <c r="E40" s="70">
        <v>20.31</v>
      </c>
      <c r="F40" s="98">
        <v>16.506827048114435</v>
      </c>
      <c r="G40" s="439"/>
      <c r="H40" s="439"/>
      <c r="I40" s="225">
        <f>H39/100*F40</f>
        <v>3301.365409622887</v>
      </c>
      <c r="J40" s="178"/>
      <c r="K40" s="74"/>
      <c r="L40" s="226"/>
      <c r="M40" s="69"/>
      <c r="N40" s="69"/>
      <c r="O40" s="70">
        <f t="shared" si="0"/>
        <v>3301.365409622887</v>
      </c>
      <c r="P40" s="226"/>
      <c r="Q40" s="226"/>
    </row>
    <row r="41" spans="1:17" ht="47.25" customHeight="1">
      <c r="A41" s="84"/>
      <c r="B41" s="82"/>
      <c r="C41" s="70"/>
      <c r="D41" s="93" t="s">
        <v>57</v>
      </c>
      <c r="E41" s="70">
        <v>40.790000000000006</v>
      </c>
      <c r="F41" s="98">
        <v>33.151820546163854</v>
      </c>
      <c r="G41" s="440"/>
      <c r="H41" s="440"/>
      <c r="I41" s="225">
        <f>H39/100*F41</f>
        <v>6630.364109232771</v>
      </c>
      <c r="J41" s="178"/>
      <c r="K41" s="74"/>
      <c r="L41" s="226"/>
      <c r="M41" s="69"/>
      <c r="N41" s="69"/>
      <c r="O41" s="70">
        <f t="shared" si="0"/>
        <v>6630.364109232771</v>
      </c>
      <c r="P41" s="226"/>
      <c r="Q41" s="226"/>
    </row>
    <row r="42" spans="1:17" ht="15.75">
      <c r="A42" s="84"/>
      <c r="B42" s="82"/>
      <c r="C42" s="298">
        <v>20000</v>
      </c>
      <c r="D42" s="163" t="s">
        <v>56</v>
      </c>
      <c r="E42" s="298">
        <v>61.94</v>
      </c>
      <c r="F42" s="182">
        <v>50.341352405721715</v>
      </c>
      <c r="G42" s="508">
        <v>2013</v>
      </c>
      <c r="H42" s="467">
        <v>20000</v>
      </c>
      <c r="I42" s="138">
        <f>H42/100*F42</f>
        <v>10068.270481144344</v>
      </c>
      <c r="J42" s="183"/>
      <c r="K42" s="245"/>
      <c r="L42" s="226"/>
      <c r="M42" s="69"/>
      <c r="N42" s="69"/>
      <c r="O42" s="246">
        <f t="shared" si="0"/>
        <v>10068.270481144344</v>
      </c>
      <c r="P42" s="226"/>
      <c r="Q42" s="226"/>
    </row>
    <row r="43" spans="1:17" ht="15.75">
      <c r="A43" s="86"/>
      <c r="B43" s="82"/>
      <c r="C43" s="184"/>
      <c r="D43" s="163" t="s">
        <v>39</v>
      </c>
      <c r="E43" s="298">
        <v>20.31</v>
      </c>
      <c r="F43" s="182">
        <v>16.506827048114435</v>
      </c>
      <c r="G43" s="509"/>
      <c r="H43" s="511"/>
      <c r="I43" s="138">
        <f>H42/100*F43</f>
        <v>3301.365409622887</v>
      </c>
      <c r="J43" s="183"/>
      <c r="K43" s="74"/>
      <c r="L43" s="226"/>
      <c r="M43" s="69"/>
      <c r="N43" s="69"/>
      <c r="O43" s="70">
        <f t="shared" si="0"/>
        <v>3301.365409622887</v>
      </c>
      <c r="P43" s="226"/>
      <c r="Q43" s="226"/>
    </row>
    <row r="44" spans="1:17" ht="15.75">
      <c r="A44" s="88"/>
      <c r="B44" s="159"/>
      <c r="C44" s="184"/>
      <c r="D44" s="163" t="s">
        <v>57</v>
      </c>
      <c r="E44" s="298">
        <v>40.790000000000006</v>
      </c>
      <c r="F44" s="182">
        <v>33.151820546163854</v>
      </c>
      <c r="G44" s="510"/>
      <c r="H44" s="468"/>
      <c r="I44" s="138">
        <f>H42/100*F44</f>
        <v>6630.364109232771</v>
      </c>
      <c r="J44" s="183"/>
      <c r="K44" s="77"/>
      <c r="L44" s="153"/>
      <c r="M44" s="154"/>
      <c r="N44" s="154"/>
      <c r="O44" s="70">
        <f t="shared" si="0"/>
        <v>6630.364109232771</v>
      </c>
      <c r="P44" s="226"/>
      <c r="Q44" s="226"/>
    </row>
    <row r="45" spans="1:17" ht="15.75">
      <c r="A45" s="84"/>
      <c r="B45" s="82"/>
      <c r="C45" s="298">
        <v>20000</v>
      </c>
      <c r="D45" s="163" t="s">
        <v>56</v>
      </c>
      <c r="E45" s="298">
        <v>61.94</v>
      </c>
      <c r="F45" s="182">
        <v>50.341352405721715</v>
      </c>
      <c r="G45" s="508">
        <v>2014</v>
      </c>
      <c r="H45" s="467">
        <v>20000</v>
      </c>
      <c r="I45" s="138">
        <f>H45/100*F45</f>
        <v>10068.270481144344</v>
      </c>
      <c r="J45" s="183"/>
      <c r="K45" s="245"/>
      <c r="L45" s="226"/>
      <c r="M45" s="300"/>
      <c r="N45" s="154"/>
      <c r="O45" s="246">
        <f aca="true" t="shared" si="1" ref="O45:O50">I45-J45</f>
        <v>10068.270481144344</v>
      </c>
      <c r="P45" s="226"/>
      <c r="Q45" s="226"/>
    </row>
    <row r="46" spans="1:17" ht="15.75">
      <c r="A46" s="86"/>
      <c r="B46" s="82"/>
      <c r="C46" s="184"/>
      <c r="D46" s="163" t="s">
        <v>39</v>
      </c>
      <c r="E46" s="298">
        <v>20.31</v>
      </c>
      <c r="F46" s="182">
        <v>16.506827048114435</v>
      </c>
      <c r="G46" s="509"/>
      <c r="H46" s="511"/>
      <c r="I46" s="138">
        <f>H45/100*F46</f>
        <v>3301.365409622887</v>
      </c>
      <c r="J46" s="183"/>
      <c r="K46" s="74"/>
      <c r="L46" s="226"/>
      <c r="M46" s="69"/>
      <c r="N46" s="69"/>
      <c r="O46" s="70">
        <f t="shared" si="1"/>
        <v>3301.365409622887</v>
      </c>
      <c r="P46" s="226"/>
      <c r="Q46" s="226"/>
    </row>
    <row r="47" spans="1:17" ht="15.75">
      <c r="A47" s="88"/>
      <c r="B47" s="159"/>
      <c r="C47" s="184"/>
      <c r="D47" s="163" t="s">
        <v>57</v>
      </c>
      <c r="E47" s="298">
        <v>40.790000000000006</v>
      </c>
      <c r="F47" s="182">
        <v>33.151820546163854</v>
      </c>
      <c r="G47" s="510"/>
      <c r="H47" s="468"/>
      <c r="I47" s="138">
        <f>H45/100*F47</f>
        <v>6630.364109232771</v>
      </c>
      <c r="J47" s="183"/>
      <c r="K47" s="77"/>
      <c r="L47" s="153"/>
      <c r="M47" s="154"/>
      <c r="N47" s="154"/>
      <c r="O47" s="70">
        <f t="shared" si="1"/>
        <v>6630.364109232771</v>
      </c>
      <c r="P47" s="226"/>
      <c r="Q47" s="226"/>
    </row>
    <row r="48" spans="1:17" ht="15.75">
      <c r="A48" s="337"/>
      <c r="B48" s="82"/>
      <c r="C48" s="336">
        <v>20000</v>
      </c>
      <c r="D48" s="163" t="s">
        <v>56</v>
      </c>
      <c r="E48" s="336">
        <v>61.94</v>
      </c>
      <c r="F48" s="182">
        <v>50.341352405721715</v>
      </c>
      <c r="G48" s="508">
        <v>2015</v>
      </c>
      <c r="H48" s="467">
        <v>20000</v>
      </c>
      <c r="I48" s="138">
        <f>H48/100*F48</f>
        <v>10068.270481144344</v>
      </c>
      <c r="J48" s="183"/>
      <c r="K48" s="245"/>
      <c r="L48" s="226"/>
      <c r="M48" s="300"/>
      <c r="N48" s="154"/>
      <c r="O48" s="246">
        <f t="shared" si="1"/>
        <v>10068.270481144344</v>
      </c>
      <c r="P48" s="226"/>
      <c r="Q48" s="226"/>
    </row>
    <row r="49" spans="1:17" ht="15.75">
      <c r="A49" s="86"/>
      <c r="B49" s="82"/>
      <c r="C49" s="184"/>
      <c r="D49" s="163" t="s">
        <v>39</v>
      </c>
      <c r="E49" s="336">
        <v>20.31</v>
      </c>
      <c r="F49" s="182">
        <v>16.506827048114435</v>
      </c>
      <c r="G49" s="509"/>
      <c r="H49" s="511"/>
      <c r="I49" s="138">
        <f>H48/100*F49</f>
        <v>3301.365409622887</v>
      </c>
      <c r="J49" s="183"/>
      <c r="K49" s="74"/>
      <c r="L49" s="226"/>
      <c r="M49" s="69"/>
      <c r="N49" s="69"/>
      <c r="O49" s="70">
        <f t="shared" si="1"/>
        <v>3301.365409622887</v>
      </c>
      <c r="P49" s="226"/>
      <c r="Q49" s="226"/>
    </row>
    <row r="50" spans="1:17" ht="15.75">
      <c r="A50" s="88"/>
      <c r="B50" s="159"/>
      <c r="C50" s="184"/>
      <c r="D50" s="163" t="s">
        <v>57</v>
      </c>
      <c r="E50" s="336">
        <v>40.790000000000006</v>
      </c>
      <c r="F50" s="182">
        <v>33.151820546163854</v>
      </c>
      <c r="G50" s="510"/>
      <c r="H50" s="468"/>
      <c r="I50" s="138">
        <f>H48/100*F50</f>
        <v>6630.364109232771</v>
      </c>
      <c r="J50" s="183"/>
      <c r="K50" s="77"/>
      <c r="L50" s="153"/>
      <c r="M50" s="154"/>
      <c r="N50" s="154"/>
      <c r="O50" s="70">
        <f t="shared" si="1"/>
        <v>6630.364109232771</v>
      </c>
      <c r="P50" s="226"/>
      <c r="Q50" s="226"/>
    </row>
    <row r="51" spans="1:17" ht="15.75">
      <c r="A51" s="357"/>
      <c r="B51" s="82"/>
      <c r="C51" s="356">
        <v>20000</v>
      </c>
      <c r="D51" s="163" t="s">
        <v>56</v>
      </c>
      <c r="E51" s="356">
        <v>61.94</v>
      </c>
      <c r="F51" s="182">
        <v>50.341352405721715</v>
      </c>
      <c r="G51" s="508">
        <v>2016</v>
      </c>
      <c r="H51" s="467">
        <v>20000</v>
      </c>
      <c r="I51" s="138">
        <f>H51/100*F51</f>
        <v>10068.270481144344</v>
      </c>
      <c r="J51" s="183"/>
      <c r="K51" s="245"/>
      <c r="L51" s="226"/>
      <c r="M51" s="300"/>
      <c r="N51" s="154"/>
      <c r="O51" s="246">
        <f aca="true" t="shared" si="2" ref="O51:O56">I51-J51</f>
        <v>10068.270481144344</v>
      </c>
      <c r="P51" s="226"/>
      <c r="Q51" s="226"/>
    </row>
    <row r="52" spans="1:17" ht="15.75">
      <c r="A52" s="86"/>
      <c r="B52" s="82"/>
      <c r="C52" s="184"/>
      <c r="D52" s="163" t="s">
        <v>39</v>
      </c>
      <c r="E52" s="356">
        <v>20.31</v>
      </c>
      <c r="F52" s="182">
        <v>16.506827048114435</v>
      </c>
      <c r="G52" s="509"/>
      <c r="H52" s="511"/>
      <c r="I52" s="138">
        <f>H51/100*F52</f>
        <v>3301.365409622887</v>
      </c>
      <c r="J52" s="183"/>
      <c r="K52" s="74"/>
      <c r="L52" s="226"/>
      <c r="M52" s="69"/>
      <c r="N52" s="69"/>
      <c r="O52" s="70">
        <f t="shared" si="2"/>
        <v>3301.365409622887</v>
      </c>
      <c r="P52" s="226"/>
      <c r="Q52" s="226"/>
    </row>
    <row r="53" spans="1:17" ht="15.75">
      <c r="A53" s="88"/>
      <c r="B53" s="159"/>
      <c r="C53" s="184"/>
      <c r="D53" s="163" t="s">
        <v>57</v>
      </c>
      <c r="E53" s="356">
        <v>40.790000000000006</v>
      </c>
      <c r="F53" s="182">
        <v>33.151820546163854</v>
      </c>
      <c r="G53" s="510"/>
      <c r="H53" s="468"/>
      <c r="I53" s="138">
        <f>H51/100*F53</f>
        <v>6630.364109232771</v>
      </c>
      <c r="J53" s="183"/>
      <c r="K53" s="77"/>
      <c r="L53" s="153"/>
      <c r="M53" s="154"/>
      <c r="N53" s="154"/>
      <c r="O53" s="70">
        <f t="shared" si="2"/>
        <v>6630.364109232771</v>
      </c>
      <c r="P53" s="226"/>
      <c r="Q53" s="226"/>
    </row>
    <row r="54" spans="1:17" ht="15.75">
      <c r="A54" s="376"/>
      <c r="B54" s="82"/>
      <c r="C54" s="375">
        <v>20000</v>
      </c>
      <c r="D54" s="163" t="s">
        <v>56</v>
      </c>
      <c r="E54" s="375">
        <v>61.94</v>
      </c>
      <c r="F54" s="182">
        <v>50.341352405721715</v>
      </c>
      <c r="G54" s="508">
        <v>2017</v>
      </c>
      <c r="H54" s="467">
        <v>20000</v>
      </c>
      <c r="I54" s="138">
        <f>H54/100*F54</f>
        <v>10068.270481144344</v>
      </c>
      <c r="J54" s="183"/>
      <c r="K54" s="245"/>
      <c r="L54" s="226"/>
      <c r="M54" s="300"/>
      <c r="N54" s="154"/>
      <c r="O54" s="246">
        <f t="shared" si="2"/>
        <v>10068.270481144344</v>
      </c>
      <c r="P54" s="226"/>
      <c r="Q54" s="226"/>
    </row>
    <row r="55" spans="1:17" ht="15.75">
      <c r="A55" s="86"/>
      <c r="B55" s="82"/>
      <c r="C55" s="184"/>
      <c r="D55" s="163" t="s">
        <v>39</v>
      </c>
      <c r="E55" s="375">
        <v>20.31</v>
      </c>
      <c r="F55" s="182">
        <v>16.506827048114435</v>
      </c>
      <c r="G55" s="509"/>
      <c r="H55" s="511"/>
      <c r="I55" s="138">
        <f>H54/100*F55</f>
        <v>3301.365409622887</v>
      </c>
      <c r="J55" s="183"/>
      <c r="K55" s="74"/>
      <c r="L55" s="226"/>
      <c r="M55" s="69"/>
      <c r="N55" s="69"/>
      <c r="O55" s="70">
        <f t="shared" si="2"/>
        <v>3301.365409622887</v>
      </c>
      <c r="P55" s="226"/>
      <c r="Q55" s="226"/>
    </row>
    <row r="56" spans="1:17" ht="15.75">
      <c r="A56" s="88"/>
      <c r="B56" s="159"/>
      <c r="C56" s="184"/>
      <c r="D56" s="163" t="s">
        <v>57</v>
      </c>
      <c r="E56" s="375">
        <v>40.790000000000006</v>
      </c>
      <c r="F56" s="182">
        <v>33.151820546163854</v>
      </c>
      <c r="G56" s="510"/>
      <c r="H56" s="468"/>
      <c r="I56" s="138">
        <f>H54/100*F56</f>
        <v>6630.364109232771</v>
      </c>
      <c r="J56" s="183"/>
      <c r="K56" s="77"/>
      <c r="L56" s="153"/>
      <c r="M56" s="154"/>
      <c r="N56" s="154"/>
      <c r="O56" s="70">
        <f t="shared" si="2"/>
        <v>6630.364109232771</v>
      </c>
      <c r="P56" s="226"/>
      <c r="Q56" s="226"/>
    </row>
    <row r="57" spans="1:17" ht="15.75">
      <c r="A57" s="382"/>
      <c r="B57" s="82"/>
      <c r="C57" s="381">
        <v>20000</v>
      </c>
      <c r="D57" s="163" t="s">
        <v>56</v>
      </c>
      <c r="E57" s="381">
        <v>61.94</v>
      </c>
      <c r="F57" s="182">
        <v>50.341352405721715</v>
      </c>
      <c r="G57" s="508">
        <v>2018</v>
      </c>
      <c r="H57" s="467">
        <v>20000</v>
      </c>
      <c r="I57" s="138">
        <f>H57/100*F57</f>
        <v>10068.270481144344</v>
      </c>
      <c r="J57" s="183"/>
      <c r="K57" s="245"/>
      <c r="L57" s="226"/>
      <c r="M57" s="300"/>
      <c r="N57" s="154"/>
      <c r="O57" s="246">
        <f aca="true" t="shared" si="3" ref="O57:O62">I57-J57</f>
        <v>10068.270481144344</v>
      </c>
      <c r="P57" s="226"/>
      <c r="Q57" s="226"/>
    </row>
    <row r="58" spans="1:17" ht="15.75">
      <c r="A58" s="86"/>
      <c r="B58" s="82"/>
      <c r="C58" s="184"/>
      <c r="D58" s="163" t="s">
        <v>39</v>
      </c>
      <c r="E58" s="381">
        <v>20.31</v>
      </c>
      <c r="F58" s="182">
        <v>16.506827048114435</v>
      </c>
      <c r="G58" s="509"/>
      <c r="H58" s="511"/>
      <c r="I58" s="138">
        <f>H57/100*F58</f>
        <v>3301.365409622887</v>
      </c>
      <c r="J58" s="183"/>
      <c r="K58" s="74"/>
      <c r="L58" s="226"/>
      <c r="M58" s="69"/>
      <c r="N58" s="69"/>
      <c r="O58" s="70">
        <f t="shared" si="3"/>
        <v>3301.365409622887</v>
      </c>
      <c r="P58" s="226"/>
      <c r="Q58" s="226"/>
    </row>
    <row r="59" spans="1:17" ht="15.75">
      <c r="A59" s="88"/>
      <c r="B59" s="159"/>
      <c r="C59" s="184"/>
      <c r="D59" s="163" t="s">
        <v>57</v>
      </c>
      <c r="E59" s="381">
        <v>40.790000000000006</v>
      </c>
      <c r="F59" s="182">
        <v>33.151820546163854</v>
      </c>
      <c r="G59" s="510"/>
      <c r="H59" s="468"/>
      <c r="I59" s="138">
        <f>H57/100*F59</f>
        <v>6630.364109232771</v>
      </c>
      <c r="J59" s="183"/>
      <c r="K59" s="77"/>
      <c r="L59" s="153"/>
      <c r="M59" s="154"/>
      <c r="N59" s="154"/>
      <c r="O59" s="70">
        <f t="shared" si="3"/>
        <v>6630.364109232771</v>
      </c>
      <c r="P59" s="226"/>
      <c r="Q59" s="226"/>
    </row>
    <row r="60" spans="1:17" ht="15.75">
      <c r="A60" s="385"/>
      <c r="B60" s="82"/>
      <c r="C60" s="384">
        <v>20000</v>
      </c>
      <c r="D60" s="163" t="s">
        <v>56</v>
      </c>
      <c r="E60" s="384">
        <v>61.94</v>
      </c>
      <c r="F60" s="182">
        <v>50.341352405721715</v>
      </c>
      <c r="G60" s="508">
        <v>2019</v>
      </c>
      <c r="H60" s="467">
        <v>3978</v>
      </c>
      <c r="I60" s="138">
        <f>H60/100*F60</f>
        <v>2002.5789986996099</v>
      </c>
      <c r="J60" s="183"/>
      <c r="K60" s="245"/>
      <c r="L60" s="226"/>
      <c r="M60" s="300"/>
      <c r="N60" s="154"/>
      <c r="O60" s="246">
        <f t="shared" si="3"/>
        <v>2002.5789986996099</v>
      </c>
      <c r="P60" s="226"/>
      <c r="Q60" s="226"/>
    </row>
    <row r="61" spans="1:17" ht="15.75">
      <c r="A61" s="86"/>
      <c r="B61" s="82"/>
      <c r="C61" s="184"/>
      <c r="D61" s="163" t="s">
        <v>39</v>
      </c>
      <c r="E61" s="384">
        <v>20.31</v>
      </c>
      <c r="F61" s="182">
        <v>16.506827048114435</v>
      </c>
      <c r="G61" s="509"/>
      <c r="H61" s="511"/>
      <c r="I61" s="138">
        <f>H60/100*F61</f>
        <v>656.6415799739922</v>
      </c>
      <c r="J61" s="183"/>
      <c r="K61" s="74"/>
      <c r="L61" s="226"/>
      <c r="M61" s="69"/>
      <c r="N61" s="69"/>
      <c r="O61" s="70">
        <f t="shared" si="3"/>
        <v>656.6415799739922</v>
      </c>
      <c r="P61" s="226"/>
      <c r="Q61" s="226"/>
    </row>
    <row r="62" spans="1:17" ht="15.75">
      <c r="A62" s="88"/>
      <c r="B62" s="159"/>
      <c r="C62" s="184"/>
      <c r="D62" s="163" t="s">
        <v>57</v>
      </c>
      <c r="E62" s="384">
        <v>40.790000000000006</v>
      </c>
      <c r="F62" s="182">
        <v>33.151820546163854</v>
      </c>
      <c r="G62" s="510"/>
      <c r="H62" s="468"/>
      <c r="I62" s="138">
        <f>H60/100*F62</f>
        <v>1318.7794213263983</v>
      </c>
      <c r="J62" s="183"/>
      <c r="K62" s="77"/>
      <c r="L62" s="153"/>
      <c r="M62" s="154"/>
      <c r="N62" s="154"/>
      <c r="O62" s="70">
        <f t="shared" si="3"/>
        <v>1318.7794213263983</v>
      </c>
      <c r="P62" s="226"/>
      <c r="Q62" s="226"/>
    </row>
    <row r="63" spans="1:17" ht="15.75">
      <c r="A63" s="444" t="s">
        <v>27</v>
      </c>
      <c r="B63" s="445"/>
      <c r="C63" s="445"/>
      <c r="D63" s="445"/>
      <c r="E63" s="445"/>
      <c r="F63" s="445"/>
      <c r="G63" s="446"/>
      <c r="H63" s="116">
        <f>SUM(H8:H62)</f>
        <v>433402</v>
      </c>
      <c r="I63" s="116">
        <f>SUM(I8:I62)</f>
        <v>433402.0000000005</v>
      </c>
      <c r="J63" s="116">
        <f>SUM(J8:J50)</f>
        <v>0</v>
      </c>
      <c r="K63" s="115"/>
      <c r="L63" s="116"/>
      <c r="M63" s="118"/>
      <c r="N63" s="118"/>
      <c r="O63" s="116">
        <f>SUM(O8:O62)</f>
        <v>433402.0000000005</v>
      </c>
      <c r="P63" s="110"/>
      <c r="Q63" s="110"/>
    </row>
    <row r="64" ht="15.75" thickBot="1"/>
    <row r="65" spans="4:12" ht="15">
      <c r="D65" s="398" t="s">
        <v>78</v>
      </c>
      <c r="E65" s="394" t="s">
        <v>75</v>
      </c>
      <c r="F65" s="394"/>
      <c r="G65" s="400"/>
      <c r="H65" s="400"/>
      <c r="I65" s="402" t="s">
        <v>76</v>
      </c>
      <c r="J65" s="404" t="s">
        <v>77</v>
      </c>
      <c r="K65" s="394" t="s">
        <v>79</v>
      </c>
      <c r="L65" s="396" t="s">
        <v>80</v>
      </c>
    </row>
    <row r="66" spans="4:12" ht="15.75" thickBot="1">
      <c r="D66" s="469"/>
      <c r="E66" s="220" t="s">
        <v>81</v>
      </c>
      <c r="F66" s="220" t="s">
        <v>18</v>
      </c>
      <c r="G66" s="447"/>
      <c r="H66" s="447"/>
      <c r="I66" s="448"/>
      <c r="J66" s="449"/>
      <c r="K66" s="507"/>
      <c r="L66" s="453"/>
    </row>
    <row r="67" spans="4:12" ht="15.75">
      <c r="D67" s="289" t="s">
        <v>56</v>
      </c>
      <c r="E67" s="290">
        <v>61.94</v>
      </c>
      <c r="F67" s="291">
        <v>50.341352405721715</v>
      </c>
      <c r="G67" s="288"/>
      <c r="H67" s="288"/>
      <c r="I67" s="286">
        <f>SUM(I42,I39,I36,I33,I30,I27,I24,I21,I18,I15,I12,I9,I45,I48,I51,I54,I57,I60)</f>
        <v>218180.428153446</v>
      </c>
      <c r="J67" s="286">
        <f>SUM(J42,J39,J36,J33,J30,J27,J24,J21,J18,J15,J12,J9,J45)</f>
        <v>0</v>
      </c>
      <c r="K67" s="288"/>
      <c r="L67" s="292">
        <f>I67-J67</f>
        <v>218180.428153446</v>
      </c>
    </row>
    <row r="68" spans="4:12" ht="15.75">
      <c r="D68" s="129" t="s">
        <v>39</v>
      </c>
      <c r="E68" s="130">
        <v>20.31</v>
      </c>
      <c r="F68" s="185">
        <v>16.506827048114435</v>
      </c>
      <c r="G68" s="222"/>
      <c r="H68" s="222"/>
      <c r="I68" s="106">
        <f>SUM(I43,I40,I37,I34,I31,I28,I25,I22,I19,I16,I13,I10,I46,I49,I52,I55,I58,I61)</f>
        <v>71540.91856306892</v>
      </c>
      <c r="J68" s="106">
        <f>SUM(J43,J40,J37,J34,J31,J28,J25,J22,J19,J16,J13,J10)</f>
        <v>0</v>
      </c>
      <c r="K68" s="222"/>
      <c r="L68" s="106">
        <f>I68-J68</f>
        <v>71540.91856306892</v>
      </c>
    </row>
    <row r="69" spans="4:12" ht="15.75">
      <c r="D69" s="129" t="s">
        <v>57</v>
      </c>
      <c r="E69" s="130">
        <v>40.790000000000006</v>
      </c>
      <c r="F69" s="185">
        <v>33.151820546163854</v>
      </c>
      <c r="G69" s="222"/>
      <c r="H69" s="222"/>
      <c r="I69" s="106">
        <f>SUM(I44,I41,I38,I35,I32,I29,I26,I23,I20,I17,I14,I11,I47,I50,I53,I56,I59,I62)</f>
        <v>143680.65328348507</v>
      </c>
      <c r="J69" s="106">
        <f>SUM(J44,J41,J38,J35,J32,J29,J26,J23,J20,J17,J14,J11)</f>
        <v>0</v>
      </c>
      <c r="K69" s="222"/>
      <c r="L69" s="106">
        <f>I69-J69</f>
        <v>143680.65328348507</v>
      </c>
    </row>
    <row r="70" spans="1:10" ht="15.75">
      <c r="A70" t="s">
        <v>69</v>
      </c>
      <c r="J70" s="207">
        <v>136250</v>
      </c>
    </row>
    <row r="71" spans="1:11" ht="15.75">
      <c r="A71" t="s">
        <v>114</v>
      </c>
      <c r="J71" s="207"/>
      <c r="K71" s="390">
        <v>46293</v>
      </c>
    </row>
    <row r="72" spans="4:12" ht="15.75">
      <c r="D72" s="110"/>
      <c r="E72" s="110" t="s">
        <v>27</v>
      </c>
      <c r="F72" s="132"/>
      <c r="G72" s="111"/>
      <c r="H72" s="112"/>
      <c r="I72" s="106">
        <f>SUM(I67:I69)</f>
        <v>433402</v>
      </c>
      <c r="J72" s="106">
        <f>SUM(J70,J67)</f>
        <v>136250</v>
      </c>
      <c r="K72" s="208">
        <f>SUM(K71)</f>
        <v>46293</v>
      </c>
      <c r="L72" s="223">
        <f>I72-J72-K72</f>
        <v>250859</v>
      </c>
    </row>
  </sheetData>
  <sheetProtection/>
  <mergeCells count="62">
    <mergeCell ref="G57:G59"/>
    <mergeCell ref="H57:H59"/>
    <mergeCell ref="I65:I66"/>
    <mergeCell ref="J65:J66"/>
    <mergeCell ref="K65:K66"/>
    <mergeCell ref="L65:L66"/>
    <mergeCell ref="G60:G62"/>
    <mergeCell ref="H60:H62"/>
    <mergeCell ref="G45:G47"/>
    <mergeCell ref="H45:H47"/>
    <mergeCell ref="A63:G63"/>
    <mergeCell ref="D65:D66"/>
    <mergeCell ref="E65:F65"/>
    <mergeCell ref="G65:G66"/>
    <mergeCell ref="H65:H66"/>
    <mergeCell ref="G48:G50"/>
    <mergeCell ref="H48:H50"/>
    <mergeCell ref="G51:G53"/>
    <mergeCell ref="G36:G38"/>
    <mergeCell ref="H36:H38"/>
    <mergeCell ref="G39:G41"/>
    <mergeCell ref="H39:H41"/>
    <mergeCell ref="G42:G44"/>
    <mergeCell ref="H42:H44"/>
    <mergeCell ref="G27:G29"/>
    <mergeCell ref="H27:H29"/>
    <mergeCell ref="G30:G32"/>
    <mergeCell ref="H30:H32"/>
    <mergeCell ref="G33:G35"/>
    <mergeCell ref="H33:H35"/>
    <mergeCell ref="G15:G17"/>
    <mergeCell ref="H15:H17"/>
    <mergeCell ref="G18:G20"/>
    <mergeCell ref="H18:H20"/>
    <mergeCell ref="G21:G23"/>
    <mergeCell ref="G24:G26"/>
    <mergeCell ref="H24:H26"/>
    <mergeCell ref="G12:G14"/>
    <mergeCell ref="H12:H14"/>
    <mergeCell ref="K5:K6"/>
    <mergeCell ref="L5:L6"/>
    <mergeCell ref="M5:M6"/>
    <mergeCell ref="N5:N6"/>
    <mergeCell ref="G5:H5"/>
    <mergeCell ref="Q5:Q6"/>
    <mergeCell ref="P5:P6"/>
    <mergeCell ref="E7:F7"/>
    <mergeCell ref="G9:G11"/>
    <mergeCell ref="H9:H11"/>
    <mergeCell ref="I5:I6"/>
    <mergeCell ref="J5:J6"/>
    <mergeCell ref="O5:O6"/>
    <mergeCell ref="G54:G56"/>
    <mergeCell ref="H54:H56"/>
    <mergeCell ref="H51:H53"/>
    <mergeCell ref="A1:Q2"/>
    <mergeCell ref="A4:A6"/>
    <mergeCell ref="B4:B6"/>
    <mergeCell ref="C4:C6"/>
    <mergeCell ref="D4:D6"/>
    <mergeCell ref="E4:F5"/>
    <mergeCell ref="G4:Q4"/>
  </mergeCells>
  <printOptions/>
  <pageMargins left="0.7" right="0.95" top="0.75" bottom="0.5" header="0.3" footer="0.3"/>
  <pageSetup fitToHeight="0" fitToWidth="1" horizontalDpi="600" verticalDpi="600" orientation="landscape" paperSize="9" scale="59" r:id="rId1"/>
  <rowBreaks count="4" manualBreakCount="4">
    <brk id="17" max="255" man="1"/>
    <brk id="27" max="16" man="1"/>
    <brk id="36" max="16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17.28125" style="0" customWidth="1"/>
    <col min="2" max="2" width="11.140625" style="0" customWidth="1"/>
    <col min="4" max="4" width="20.28125" style="0" customWidth="1"/>
    <col min="11" max="11" width="21.140625" style="0" customWidth="1"/>
    <col min="12" max="12" width="19.00390625" style="0" bestFit="1" customWidth="1"/>
    <col min="13" max="13" width="14.421875" style="0" bestFit="1" customWidth="1"/>
    <col min="14" max="14" width="13.8515625" style="0" bestFit="1" customWidth="1"/>
    <col min="15" max="15" width="10.140625" style="0" bestFit="1" customWidth="1"/>
    <col min="16" max="16" width="9.8515625" style="0" bestFit="1" customWidth="1"/>
    <col min="17" max="17" width="17.8515625" style="0" bestFit="1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37.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95" t="s">
        <v>68</v>
      </c>
      <c r="B8" s="352" t="s">
        <v>89</v>
      </c>
      <c r="C8" s="81">
        <v>10000</v>
      </c>
      <c r="D8" s="196" t="s">
        <v>105</v>
      </c>
      <c r="E8" s="226">
        <v>2436.3</v>
      </c>
      <c r="F8" s="226">
        <v>100</v>
      </c>
      <c r="G8" s="226"/>
      <c r="H8" s="74"/>
      <c r="I8" s="75"/>
      <c r="J8" s="76">
        <v>0</v>
      </c>
      <c r="K8" s="77"/>
      <c r="L8" s="76"/>
      <c r="M8" s="133"/>
      <c r="N8" s="133"/>
      <c r="O8" s="226">
        <f>H8-J8</f>
        <v>0</v>
      </c>
      <c r="P8" s="73"/>
      <c r="Q8" s="226">
        <v>2575</v>
      </c>
    </row>
    <row r="9" spans="1:17" ht="15.75">
      <c r="A9" s="296"/>
      <c r="B9" s="352" t="s">
        <v>66</v>
      </c>
      <c r="C9" s="83"/>
      <c r="D9" s="191"/>
      <c r="E9" s="226"/>
      <c r="F9" s="226"/>
      <c r="G9" s="155">
        <v>2006</v>
      </c>
      <c r="H9" s="194">
        <v>2575</v>
      </c>
      <c r="I9" s="75">
        <v>2575</v>
      </c>
      <c r="J9" s="76"/>
      <c r="K9" s="77"/>
      <c r="L9" s="76"/>
      <c r="M9" s="133"/>
      <c r="N9" s="133"/>
      <c r="O9" s="226">
        <f aca="true" t="shared" si="0" ref="O9:O16">H9-J9</f>
        <v>2575</v>
      </c>
      <c r="P9" s="226"/>
      <c r="Q9" s="226"/>
    </row>
    <row r="10" spans="1:17" ht="15.75">
      <c r="A10" s="296"/>
      <c r="B10" s="353" t="s">
        <v>98</v>
      </c>
      <c r="C10" s="83"/>
      <c r="D10" s="191"/>
      <c r="E10" s="226"/>
      <c r="F10" s="226"/>
      <c r="G10" s="155">
        <v>2007</v>
      </c>
      <c r="H10" s="194">
        <v>10000</v>
      </c>
      <c r="I10" s="75">
        <v>10000</v>
      </c>
      <c r="J10" s="76"/>
      <c r="K10" s="77"/>
      <c r="L10" s="76"/>
      <c r="M10" s="133"/>
      <c r="N10" s="133"/>
      <c r="O10" s="226">
        <f t="shared" si="0"/>
        <v>10000</v>
      </c>
      <c r="P10" s="226"/>
      <c r="Q10" s="226"/>
    </row>
    <row r="11" spans="1:17" ht="15.75">
      <c r="A11" s="296"/>
      <c r="B11" s="353" t="s">
        <v>99</v>
      </c>
      <c r="C11" s="83"/>
      <c r="D11" s="191"/>
      <c r="E11" s="226"/>
      <c r="F11" s="226"/>
      <c r="G11" s="155">
        <v>2008</v>
      </c>
      <c r="H11" s="194">
        <v>10000</v>
      </c>
      <c r="I11" s="75">
        <v>10000</v>
      </c>
      <c r="J11" s="76"/>
      <c r="K11" s="77"/>
      <c r="L11" s="76"/>
      <c r="M11" s="133"/>
      <c r="N11" s="133"/>
      <c r="O11" s="226">
        <f t="shared" si="0"/>
        <v>10000</v>
      </c>
      <c r="P11" s="226"/>
      <c r="Q11" s="226"/>
    </row>
    <row r="12" spans="1:17" ht="15.75">
      <c r="A12" s="296"/>
      <c r="B12" s="82"/>
      <c r="C12" s="83"/>
      <c r="D12" s="191"/>
      <c r="E12" s="226"/>
      <c r="F12" s="226"/>
      <c r="G12" s="155">
        <v>2009</v>
      </c>
      <c r="H12" s="194">
        <v>10000</v>
      </c>
      <c r="I12" s="75">
        <v>10000</v>
      </c>
      <c r="J12" s="76"/>
      <c r="K12" s="77"/>
      <c r="L12" s="76"/>
      <c r="M12" s="133"/>
      <c r="N12" s="133"/>
      <c r="O12" s="226">
        <f t="shared" si="0"/>
        <v>10000</v>
      </c>
      <c r="P12" s="226"/>
      <c r="Q12" s="226"/>
    </row>
    <row r="13" spans="1:17" ht="15.75">
      <c r="A13" s="296"/>
      <c r="B13" s="82"/>
      <c r="C13" s="83"/>
      <c r="D13" s="191"/>
      <c r="E13" s="226"/>
      <c r="F13" s="226"/>
      <c r="G13" s="155">
        <v>2010</v>
      </c>
      <c r="H13" s="194">
        <v>10000</v>
      </c>
      <c r="I13" s="75">
        <v>10000</v>
      </c>
      <c r="J13" s="76"/>
      <c r="K13" s="77"/>
      <c r="L13" s="76"/>
      <c r="M13" s="133"/>
      <c r="N13" s="133"/>
      <c r="O13" s="226">
        <f t="shared" si="0"/>
        <v>10000</v>
      </c>
      <c r="P13" s="226"/>
      <c r="Q13" s="226"/>
    </row>
    <row r="14" spans="1:17" ht="15.75">
      <c r="A14" s="296"/>
      <c r="B14" s="82"/>
      <c r="C14" s="83"/>
      <c r="D14" s="191"/>
      <c r="E14" s="226"/>
      <c r="F14" s="226"/>
      <c r="G14" s="155">
        <v>2011</v>
      </c>
      <c r="H14" s="194">
        <v>10000</v>
      </c>
      <c r="I14" s="75">
        <v>10000</v>
      </c>
      <c r="J14" s="76"/>
      <c r="K14" s="77"/>
      <c r="L14" s="76"/>
      <c r="M14" s="133"/>
      <c r="N14" s="133"/>
      <c r="O14" s="226">
        <f t="shared" si="0"/>
        <v>10000</v>
      </c>
      <c r="P14" s="226"/>
      <c r="Q14" s="226"/>
    </row>
    <row r="15" spans="1:17" ht="15.75">
      <c r="A15" s="296"/>
      <c r="B15" s="82"/>
      <c r="C15" s="83"/>
      <c r="D15" s="191"/>
      <c r="E15" s="226"/>
      <c r="F15" s="226"/>
      <c r="G15" s="155">
        <v>2012</v>
      </c>
      <c r="H15" s="194">
        <v>10000</v>
      </c>
      <c r="I15" s="75">
        <v>10000</v>
      </c>
      <c r="J15" s="76"/>
      <c r="K15" s="77"/>
      <c r="L15" s="76"/>
      <c r="M15" s="133"/>
      <c r="N15" s="133"/>
      <c r="O15" s="226">
        <f t="shared" si="0"/>
        <v>10000</v>
      </c>
      <c r="P15" s="226"/>
      <c r="Q15" s="226"/>
    </row>
    <row r="16" spans="1:17" ht="15.75">
      <c r="A16" s="297"/>
      <c r="B16" s="159"/>
      <c r="C16" s="135"/>
      <c r="D16" s="192"/>
      <c r="E16" s="226"/>
      <c r="F16" s="226"/>
      <c r="G16" s="195">
        <v>2013</v>
      </c>
      <c r="H16" s="187">
        <v>7425</v>
      </c>
      <c r="I16" s="92">
        <v>7425</v>
      </c>
      <c r="J16" s="79"/>
      <c r="K16" s="77"/>
      <c r="L16" s="76"/>
      <c r="M16" s="133"/>
      <c r="N16" s="133"/>
      <c r="O16" s="226">
        <f t="shared" si="0"/>
        <v>7425</v>
      </c>
      <c r="P16" s="226"/>
      <c r="Q16" s="226"/>
    </row>
    <row r="17" spans="1:17" ht="15.75">
      <c r="A17" s="140"/>
      <c r="B17" s="141"/>
      <c r="C17" s="141"/>
      <c r="D17" s="143" t="s">
        <v>27</v>
      </c>
      <c r="E17" s="141"/>
      <c r="F17" s="141"/>
      <c r="G17" s="142"/>
      <c r="H17" s="125">
        <f>SUM(H9:H16)</f>
        <v>70000</v>
      </c>
      <c r="I17" s="125">
        <f>SUM(I9:I16)</f>
        <v>70000</v>
      </c>
      <c r="J17" s="139">
        <f>SUM(J8:J16)</f>
        <v>0</v>
      </c>
      <c r="K17" s="117"/>
      <c r="L17" s="139"/>
      <c r="M17" s="118"/>
      <c r="N17" s="118"/>
      <c r="O17" s="116">
        <f>SUM(O8:O16)</f>
        <v>70000</v>
      </c>
      <c r="P17" s="110"/>
      <c r="Q17" s="110"/>
    </row>
    <row r="19" ht="15.75" thickBot="1"/>
    <row r="20" spans="3:12" ht="15">
      <c r="C20" s="51"/>
      <c r="D20" s="398" t="s">
        <v>78</v>
      </c>
      <c r="E20" s="394" t="s">
        <v>75</v>
      </c>
      <c r="F20" s="394"/>
      <c r="G20" s="400"/>
      <c r="H20" s="400"/>
      <c r="I20" s="402" t="s">
        <v>76</v>
      </c>
      <c r="J20" s="404" t="s">
        <v>77</v>
      </c>
      <c r="K20" s="394" t="s">
        <v>79</v>
      </c>
      <c r="L20" s="396" t="s">
        <v>80</v>
      </c>
    </row>
    <row r="21" spans="3:12" ht="15">
      <c r="C21" s="51"/>
      <c r="D21" s="461"/>
      <c r="E21" s="224" t="s">
        <v>81</v>
      </c>
      <c r="F21" s="224" t="s">
        <v>18</v>
      </c>
      <c r="G21" s="462"/>
      <c r="H21" s="462"/>
      <c r="I21" s="463"/>
      <c r="J21" s="464"/>
      <c r="K21" s="452"/>
      <c r="L21" s="460"/>
    </row>
    <row r="22" spans="3:12" ht="16.5" thickBot="1">
      <c r="C22" s="257"/>
      <c r="D22" s="262" t="s">
        <v>67</v>
      </c>
      <c r="E22" s="263">
        <v>2436.3</v>
      </c>
      <c r="F22" s="263">
        <v>100</v>
      </c>
      <c r="G22" s="235"/>
      <c r="H22" s="235"/>
      <c r="I22" s="360">
        <f>H17</f>
        <v>70000</v>
      </c>
      <c r="J22" s="235">
        <v>0</v>
      </c>
      <c r="K22" s="235">
        <v>0</v>
      </c>
      <c r="L22" s="361">
        <f>I22-J22-K22</f>
        <v>70000</v>
      </c>
    </row>
  </sheetData>
  <sheetProtection/>
  <mergeCells count="26">
    <mergeCell ref="Q5:Q6"/>
    <mergeCell ref="E7:F7"/>
    <mergeCell ref="D20:D21"/>
    <mergeCell ref="E20:F20"/>
    <mergeCell ref="G20:G21"/>
    <mergeCell ref="H20:H21"/>
    <mergeCell ref="I20:I21"/>
    <mergeCell ref="J20:J21"/>
    <mergeCell ref="K20:K21"/>
    <mergeCell ref="L20:L21"/>
    <mergeCell ref="K5:K6"/>
    <mergeCell ref="L5:L6"/>
    <mergeCell ref="M5:M6"/>
    <mergeCell ref="N5:N6"/>
    <mergeCell ref="O5:O6"/>
    <mergeCell ref="P5:P6"/>
    <mergeCell ref="A1:Q2"/>
    <mergeCell ref="A4:A6"/>
    <mergeCell ref="B4:B6"/>
    <mergeCell ref="C4:C6"/>
    <mergeCell ref="D4:D6"/>
    <mergeCell ref="E4:F5"/>
    <mergeCell ref="G4:Q4"/>
    <mergeCell ref="G5:H5"/>
    <mergeCell ref="I5:I6"/>
    <mergeCell ref="J5:J6"/>
  </mergeCells>
  <printOptions/>
  <pageMargins left="0.4" right="0.95" top="0.75" bottom="0.75" header="0.3" footer="0.3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G4" sqref="G4:Q4"/>
    </sheetView>
  </sheetViews>
  <sheetFormatPr defaultColWidth="9.140625" defaultRowHeight="15"/>
  <cols>
    <col min="1" max="1" width="17.28125" style="0" customWidth="1"/>
    <col min="2" max="2" width="11.140625" style="0" customWidth="1"/>
    <col min="4" max="4" width="20.28125" style="0" customWidth="1"/>
    <col min="11" max="11" width="21.140625" style="0" customWidth="1"/>
    <col min="12" max="12" width="19.00390625" style="0" bestFit="1" customWidth="1"/>
    <col min="13" max="13" width="14.421875" style="0" bestFit="1" customWidth="1"/>
    <col min="14" max="14" width="13.8515625" style="0" bestFit="1" customWidth="1"/>
    <col min="15" max="15" width="10.140625" style="0" bestFit="1" customWidth="1"/>
    <col min="16" max="16" width="9.8515625" style="0" bestFit="1" customWidth="1"/>
    <col min="17" max="17" width="17.8515625" style="0" bestFit="1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37.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359" t="s">
        <v>103</v>
      </c>
      <c r="B8" s="352" t="s">
        <v>89</v>
      </c>
      <c r="C8" s="81">
        <v>10000</v>
      </c>
      <c r="D8" s="196" t="s">
        <v>105</v>
      </c>
      <c r="E8" s="226">
        <v>2436.3</v>
      </c>
      <c r="F8" s="226">
        <v>100</v>
      </c>
      <c r="G8" s="226"/>
      <c r="H8" s="74"/>
      <c r="I8" s="75"/>
      <c r="J8" s="76">
        <v>0</v>
      </c>
      <c r="K8" s="77"/>
      <c r="L8" s="76"/>
      <c r="M8" s="133"/>
      <c r="N8" s="133"/>
      <c r="O8" s="226">
        <f aca="true" t="shared" si="0" ref="O8:O14">H8-J8</f>
        <v>0</v>
      </c>
      <c r="P8" s="73"/>
      <c r="Q8" s="226">
        <v>2575</v>
      </c>
    </row>
    <row r="9" spans="1:17" ht="15.75">
      <c r="A9" s="296"/>
      <c r="B9" s="352" t="s">
        <v>66</v>
      </c>
      <c r="C9" s="83"/>
      <c r="D9" s="191"/>
      <c r="E9" s="226"/>
      <c r="F9" s="226"/>
      <c r="G9" s="155">
        <v>2006</v>
      </c>
      <c r="H9" s="194">
        <v>2575</v>
      </c>
      <c r="I9" s="75">
        <v>2575</v>
      </c>
      <c r="J9" s="76"/>
      <c r="K9" s="77"/>
      <c r="L9" s="76"/>
      <c r="M9" s="133"/>
      <c r="N9" s="133"/>
      <c r="O9" s="226">
        <f t="shared" si="0"/>
        <v>2575</v>
      </c>
      <c r="P9" s="226"/>
      <c r="Q9" s="226"/>
    </row>
    <row r="10" spans="1:17" ht="15.75">
      <c r="A10" s="296"/>
      <c r="B10" s="353" t="s">
        <v>98</v>
      </c>
      <c r="C10" s="83"/>
      <c r="D10" s="191"/>
      <c r="E10" s="226"/>
      <c r="F10" s="226"/>
      <c r="G10" s="155">
        <v>2007</v>
      </c>
      <c r="H10" s="194">
        <v>10000</v>
      </c>
      <c r="I10" s="75">
        <v>10000</v>
      </c>
      <c r="J10" s="76"/>
      <c r="K10" s="77"/>
      <c r="L10" s="76"/>
      <c r="M10" s="133"/>
      <c r="N10" s="133"/>
      <c r="O10" s="226">
        <f t="shared" si="0"/>
        <v>10000</v>
      </c>
      <c r="P10" s="226"/>
      <c r="Q10" s="226"/>
    </row>
    <row r="11" spans="1:17" ht="15.75">
      <c r="A11" s="296"/>
      <c r="B11" s="353" t="s">
        <v>104</v>
      </c>
      <c r="C11" s="83"/>
      <c r="D11" s="191"/>
      <c r="E11" s="226"/>
      <c r="F11" s="226"/>
      <c r="G11" s="155">
        <v>2008</v>
      </c>
      <c r="H11" s="194">
        <v>10000</v>
      </c>
      <c r="I11" s="75">
        <v>10000</v>
      </c>
      <c r="J11" s="76"/>
      <c r="K11" s="77"/>
      <c r="L11" s="76"/>
      <c r="M11" s="133"/>
      <c r="N11" s="133"/>
      <c r="O11" s="226">
        <f t="shared" si="0"/>
        <v>10000</v>
      </c>
      <c r="P11" s="226"/>
      <c r="Q11" s="226"/>
    </row>
    <row r="12" spans="1:17" ht="15.75">
      <c r="A12" s="296"/>
      <c r="B12" s="82"/>
      <c r="C12" s="83"/>
      <c r="D12" s="191"/>
      <c r="E12" s="226"/>
      <c r="F12" s="226"/>
      <c r="G12" s="155">
        <v>2009</v>
      </c>
      <c r="H12" s="194">
        <v>10000</v>
      </c>
      <c r="I12" s="75">
        <v>10000</v>
      </c>
      <c r="J12" s="76"/>
      <c r="K12" s="77"/>
      <c r="L12" s="76"/>
      <c r="M12" s="133"/>
      <c r="N12" s="133"/>
      <c r="O12" s="226">
        <f t="shared" si="0"/>
        <v>10000</v>
      </c>
      <c r="P12" s="226"/>
      <c r="Q12" s="226"/>
    </row>
    <row r="13" spans="1:17" ht="15.75">
      <c r="A13" s="296"/>
      <c r="B13" s="82"/>
      <c r="C13" s="83"/>
      <c r="D13" s="191"/>
      <c r="E13" s="226"/>
      <c r="F13" s="226"/>
      <c r="G13" s="155">
        <v>2010</v>
      </c>
      <c r="H13" s="194">
        <v>10000</v>
      </c>
      <c r="I13" s="75">
        <v>10000</v>
      </c>
      <c r="J13" s="76"/>
      <c r="K13" s="77"/>
      <c r="L13" s="76"/>
      <c r="M13" s="133"/>
      <c r="N13" s="133"/>
      <c r="O13" s="226">
        <f t="shared" si="0"/>
        <v>10000</v>
      </c>
      <c r="P13" s="226"/>
      <c r="Q13" s="226"/>
    </row>
    <row r="14" spans="1:17" ht="15.75">
      <c r="A14" s="296"/>
      <c r="B14" s="82"/>
      <c r="C14" s="83"/>
      <c r="D14" s="191"/>
      <c r="E14" s="226"/>
      <c r="F14" s="226"/>
      <c r="G14" s="155">
        <v>2011</v>
      </c>
      <c r="H14" s="194">
        <v>7425</v>
      </c>
      <c r="I14" s="194">
        <v>7425</v>
      </c>
      <c r="J14" s="76"/>
      <c r="K14" s="77"/>
      <c r="L14" s="76"/>
      <c r="M14" s="133"/>
      <c r="N14" s="133"/>
      <c r="O14" s="226">
        <f t="shared" si="0"/>
        <v>7425</v>
      </c>
      <c r="P14" s="226"/>
      <c r="Q14" s="226"/>
    </row>
    <row r="15" spans="1:17" ht="15.75">
      <c r="A15" s="140"/>
      <c r="B15" s="141"/>
      <c r="C15" s="141"/>
      <c r="D15" s="143" t="s">
        <v>27</v>
      </c>
      <c r="E15" s="141"/>
      <c r="F15" s="141"/>
      <c r="G15" s="142"/>
      <c r="H15" s="125">
        <f>SUM(H9:H14)</f>
        <v>50000</v>
      </c>
      <c r="I15" s="125">
        <f>SUM(I9:I14)</f>
        <v>50000</v>
      </c>
      <c r="J15" s="139">
        <f>SUM(J8:J13)</f>
        <v>0</v>
      </c>
      <c r="K15" s="117"/>
      <c r="L15" s="139"/>
      <c r="M15" s="118"/>
      <c r="N15" s="118"/>
      <c r="O15" s="116">
        <f>SUM(O8:O14)</f>
        <v>50000</v>
      </c>
      <c r="P15" s="110"/>
      <c r="Q15" s="110"/>
    </row>
    <row r="17" ht="15.75" thickBot="1"/>
    <row r="18" spans="3:12" ht="15">
      <c r="C18" s="51"/>
      <c r="D18" s="398" t="s">
        <v>78</v>
      </c>
      <c r="E18" s="394" t="s">
        <v>75</v>
      </c>
      <c r="F18" s="394"/>
      <c r="G18" s="400"/>
      <c r="H18" s="400"/>
      <c r="I18" s="402" t="s">
        <v>76</v>
      </c>
      <c r="J18" s="404" t="s">
        <v>77</v>
      </c>
      <c r="K18" s="394" t="s">
        <v>79</v>
      </c>
      <c r="L18" s="396" t="s">
        <v>80</v>
      </c>
    </row>
    <row r="19" spans="3:12" ht="15">
      <c r="C19" s="51"/>
      <c r="D19" s="461"/>
      <c r="E19" s="224" t="s">
        <v>81</v>
      </c>
      <c r="F19" s="224" t="s">
        <v>18</v>
      </c>
      <c r="G19" s="462"/>
      <c r="H19" s="462"/>
      <c r="I19" s="463"/>
      <c r="J19" s="464"/>
      <c r="K19" s="452"/>
      <c r="L19" s="460"/>
    </row>
    <row r="20" spans="3:12" ht="16.5" thickBot="1">
      <c r="C20" s="257"/>
      <c r="D20" s="262" t="s">
        <v>67</v>
      </c>
      <c r="E20" s="263">
        <v>2436.3</v>
      </c>
      <c r="F20" s="263">
        <v>100</v>
      </c>
      <c r="G20" s="235"/>
      <c r="H20" s="235"/>
      <c r="I20" s="360">
        <f>H15</f>
        <v>50000</v>
      </c>
      <c r="J20" s="235">
        <v>0</v>
      </c>
      <c r="K20" s="235">
        <v>0</v>
      </c>
      <c r="L20" s="264">
        <f>I20-J20-K20</f>
        <v>50000</v>
      </c>
    </row>
  </sheetData>
  <sheetProtection/>
  <mergeCells count="26">
    <mergeCell ref="A1:Q2"/>
    <mergeCell ref="A4:A6"/>
    <mergeCell ref="B4:B6"/>
    <mergeCell ref="C4:C6"/>
    <mergeCell ref="D4:D6"/>
    <mergeCell ref="E4:F5"/>
    <mergeCell ref="G4:Q4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E7:F7"/>
    <mergeCell ref="D18:D19"/>
    <mergeCell ref="E18:F18"/>
    <mergeCell ref="G18:G19"/>
    <mergeCell ref="H18:H19"/>
    <mergeCell ref="I18:I19"/>
    <mergeCell ref="J18:J19"/>
    <mergeCell ref="K18:K19"/>
    <mergeCell ref="L18:L19"/>
  </mergeCells>
  <printOptions/>
  <pageMargins left="0.65" right="0.95" top="0.75" bottom="0.75" header="0.3" footer="0.3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7.28125" style="0" customWidth="1"/>
    <col min="2" max="2" width="11.140625" style="0" customWidth="1"/>
    <col min="4" max="4" width="20.28125" style="0" customWidth="1"/>
    <col min="11" max="11" width="21.140625" style="0" customWidth="1"/>
    <col min="12" max="12" width="19.00390625" style="0" bestFit="1" customWidth="1"/>
    <col min="13" max="13" width="14.421875" style="0" bestFit="1" customWidth="1"/>
    <col min="14" max="14" width="13.8515625" style="0" bestFit="1" customWidth="1"/>
    <col min="15" max="15" width="10.140625" style="0" bestFit="1" customWidth="1"/>
    <col min="16" max="16" width="9.8515625" style="0" bestFit="1" customWidth="1"/>
    <col min="17" max="17" width="17.8515625" style="0" bestFit="1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37.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359" t="s">
        <v>100</v>
      </c>
      <c r="B8" s="352" t="s">
        <v>89</v>
      </c>
      <c r="C8" s="81">
        <v>10000</v>
      </c>
      <c r="D8" s="196" t="s">
        <v>105</v>
      </c>
      <c r="E8" s="226">
        <v>2436.3</v>
      </c>
      <c r="F8" s="226">
        <v>100</v>
      </c>
      <c r="G8" s="226"/>
      <c r="H8" s="74"/>
      <c r="I8" s="75"/>
      <c r="J8" s="76">
        <v>0</v>
      </c>
      <c r="K8" s="77"/>
      <c r="L8" s="76"/>
      <c r="M8" s="133"/>
      <c r="N8" s="133"/>
      <c r="O8" s="226">
        <f aca="true" t="shared" si="0" ref="O8:O13">H8-J8</f>
        <v>0</v>
      </c>
      <c r="P8" s="73"/>
      <c r="Q8" s="226">
        <v>2575</v>
      </c>
    </row>
    <row r="9" spans="1:17" ht="15.75">
      <c r="A9" s="296"/>
      <c r="B9" s="352" t="s">
        <v>66</v>
      </c>
      <c r="C9" s="83"/>
      <c r="D9" s="191"/>
      <c r="E9" s="226"/>
      <c r="F9" s="226"/>
      <c r="G9" s="155">
        <v>2006</v>
      </c>
      <c r="H9" s="194">
        <v>2575</v>
      </c>
      <c r="I9" s="75">
        <v>2575</v>
      </c>
      <c r="J9" s="76"/>
      <c r="K9" s="77"/>
      <c r="L9" s="76"/>
      <c r="M9" s="133"/>
      <c r="N9" s="133"/>
      <c r="O9" s="226">
        <f t="shared" si="0"/>
        <v>2575</v>
      </c>
      <c r="P9" s="226"/>
      <c r="Q9" s="226"/>
    </row>
    <row r="10" spans="1:17" ht="15.75">
      <c r="A10" s="296"/>
      <c r="B10" s="353" t="s">
        <v>98</v>
      </c>
      <c r="C10" s="83"/>
      <c r="D10" s="191"/>
      <c r="E10" s="226"/>
      <c r="F10" s="226"/>
      <c r="G10" s="155">
        <v>2007</v>
      </c>
      <c r="H10" s="194">
        <v>10000</v>
      </c>
      <c r="I10" s="75">
        <v>10000</v>
      </c>
      <c r="J10" s="76"/>
      <c r="K10" s="77"/>
      <c r="L10" s="76"/>
      <c r="M10" s="133"/>
      <c r="N10" s="133"/>
      <c r="O10" s="226">
        <f t="shared" si="0"/>
        <v>10000</v>
      </c>
      <c r="P10" s="226"/>
      <c r="Q10" s="226"/>
    </row>
    <row r="11" spans="1:17" ht="15.75">
      <c r="A11" s="296"/>
      <c r="B11" s="353" t="s">
        <v>101</v>
      </c>
      <c r="C11" s="83"/>
      <c r="D11" s="191"/>
      <c r="E11" s="226"/>
      <c r="F11" s="226"/>
      <c r="G11" s="155">
        <v>2008</v>
      </c>
      <c r="H11" s="194">
        <v>10000</v>
      </c>
      <c r="I11" s="75">
        <v>10000</v>
      </c>
      <c r="J11" s="76"/>
      <c r="K11" s="77"/>
      <c r="L11" s="76"/>
      <c r="M11" s="133"/>
      <c r="N11" s="133"/>
      <c r="O11" s="226">
        <f t="shared" si="0"/>
        <v>10000</v>
      </c>
      <c r="P11" s="226"/>
      <c r="Q11" s="226"/>
    </row>
    <row r="12" spans="1:17" ht="15.75">
      <c r="A12" s="296"/>
      <c r="B12" s="82"/>
      <c r="C12" s="83"/>
      <c r="D12" s="191"/>
      <c r="E12" s="226"/>
      <c r="F12" s="226"/>
      <c r="G12" s="155">
        <v>2009</v>
      </c>
      <c r="H12" s="194">
        <v>10000</v>
      </c>
      <c r="I12" s="75">
        <v>10000</v>
      </c>
      <c r="J12" s="76"/>
      <c r="K12" s="77"/>
      <c r="L12" s="76"/>
      <c r="M12" s="133"/>
      <c r="N12" s="133"/>
      <c r="O12" s="226">
        <f t="shared" si="0"/>
        <v>10000</v>
      </c>
      <c r="P12" s="226"/>
      <c r="Q12" s="226"/>
    </row>
    <row r="13" spans="1:17" ht="15.75">
      <c r="A13" s="296"/>
      <c r="B13" s="82"/>
      <c r="C13" s="83"/>
      <c r="D13" s="191"/>
      <c r="E13" s="226"/>
      <c r="F13" s="226"/>
      <c r="G13" s="155">
        <v>2010</v>
      </c>
      <c r="H13" s="194">
        <v>7425</v>
      </c>
      <c r="I13" s="194">
        <v>7425</v>
      </c>
      <c r="J13" s="76"/>
      <c r="K13" s="77"/>
      <c r="L13" s="76"/>
      <c r="M13" s="133"/>
      <c r="N13" s="133"/>
      <c r="O13" s="226">
        <f t="shared" si="0"/>
        <v>7425</v>
      </c>
      <c r="P13" s="226"/>
      <c r="Q13" s="226"/>
    </row>
    <row r="14" spans="1:17" ht="15.75">
      <c r="A14" s="140"/>
      <c r="B14" s="141"/>
      <c r="C14" s="141"/>
      <c r="D14" s="143" t="s">
        <v>27</v>
      </c>
      <c r="E14" s="141"/>
      <c r="F14" s="141"/>
      <c r="G14" s="142"/>
      <c r="H14" s="125">
        <f>SUM(H9:H13)</f>
        <v>40000</v>
      </c>
      <c r="I14" s="125">
        <f>SUM(I9:I13)</f>
        <v>40000</v>
      </c>
      <c r="J14" s="139">
        <f>SUM(J8:J13)</f>
        <v>0</v>
      </c>
      <c r="K14" s="117"/>
      <c r="L14" s="139"/>
      <c r="M14" s="118"/>
      <c r="N14" s="118"/>
      <c r="O14" s="116">
        <f>SUM(O8:O13)</f>
        <v>40000</v>
      </c>
      <c r="P14" s="110"/>
      <c r="Q14" s="110"/>
    </row>
    <row r="16" ht="15.75" thickBot="1"/>
    <row r="17" spans="3:12" ht="15">
      <c r="C17" s="51"/>
      <c r="D17" s="398" t="s">
        <v>78</v>
      </c>
      <c r="E17" s="394" t="s">
        <v>75</v>
      </c>
      <c r="F17" s="394"/>
      <c r="G17" s="400"/>
      <c r="H17" s="400"/>
      <c r="I17" s="402" t="s">
        <v>76</v>
      </c>
      <c r="J17" s="404" t="s">
        <v>77</v>
      </c>
      <c r="K17" s="394" t="s">
        <v>79</v>
      </c>
      <c r="L17" s="396" t="s">
        <v>80</v>
      </c>
    </row>
    <row r="18" spans="3:12" ht="15">
      <c r="C18" s="51"/>
      <c r="D18" s="461"/>
      <c r="E18" s="224" t="s">
        <v>81</v>
      </c>
      <c r="F18" s="224" t="s">
        <v>18</v>
      </c>
      <c r="G18" s="462"/>
      <c r="H18" s="462"/>
      <c r="I18" s="463"/>
      <c r="J18" s="464"/>
      <c r="K18" s="452"/>
      <c r="L18" s="460"/>
    </row>
    <row r="19" spans="3:12" ht="16.5" thickBot="1">
      <c r="C19" s="257"/>
      <c r="D19" s="262" t="s">
        <v>67</v>
      </c>
      <c r="E19" s="263">
        <v>2436.3</v>
      </c>
      <c r="F19" s="263">
        <v>100</v>
      </c>
      <c r="G19" s="235"/>
      <c r="H19" s="235"/>
      <c r="I19" s="360">
        <f>H14</f>
        <v>40000</v>
      </c>
      <c r="J19" s="235">
        <v>0</v>
      </c>
      <c r="K19" s="235">
        <v>0</v>
      </c>
      <c r="L19" s="361">
        <f>I19-J19-K19</f>
        <v>40000</v>
      </c>
    </row>
  </sheetData>
  <sheetProtection/>
  <mergeCells count="26">
    <mergeCell ref="A1:Q2"/>
    <mergeCell ref="A4:A6"/>
    <mergeCell ref="B4:B6"/>
    <mergeCell ref="C4:C6"/>
    <mergeCell ref="D4:D6"/>
    <mergeCell ref="E4:F5"/>
    <mergeCell ref="G4:Q4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E7:F7"/>
    <mergeCell ref="D17:D18"/>
    <mergeCell ref="E17:F17"/>
    <mergeCell ref="G17:G18"/>
    <mergeCell ref="H17:H18"/>
    <mergeCell ref="I17:I18"/>
    <mergeCell ref="J17:J18"/>
    <mergeCell ref="K17:K18"/>
    <mergeCell ref="L17:L18"/>
  </mergeCells>
  <printOptions/>
  <pageMargins left="0.65" right="0.95" top="0.75" bottom="0.75" header="0.3" footer="0.3"/>
  <pageSetup fitToHeight="0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60" zoomScaleNormal="70" zoomScalePageLayoutView="0" workbookViewId="0" topLeftCell="A22">
      <selection activeCell="H33" sqref="H33"/>
    </sheetView>
  </sheetViews>
  <sheetFormatPr defaultColWidth="9.140625" defaultRowHeight="15"/>
  <cols>
    <col min="1" max="1" width="17.7109375" style="0" customWidth="1"/>
    <col min="2" max="2" width="10.28125" style="0" bestFit="1" customWidth="1"/>
    <col min="3" max="3" width="11.8515625" style="0" customWidth="1"/>
    <col min="4" max="4" width="18.7109375" style="0" customWidth="1"/>
    <col min="6" max="6" width="12.421875" style="0" customWidth="1"/>
    <col min="7" max="7" width="14.8515625" style="0" customWidth="1"/>
    <col min="8" max="8" width="12.7109375" style="0" bestFit="1" customWidth="1"/>
    <col min="9" max="9" width="13.421875" style="0" customWidth="1"/>
    <col min="11" max="11" width="48.00390625" style="0" customWidth="1"/>
    <col min="12" max="12" width="17.7109375" style="0" bestFit="1" customWidth="1"/>
    <col min="13" max="13" width="14.421875" style="0" customWidth="1"/>
    <col min="17" max="17" width="14.7109375" style="0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95" t="s">
        <v>59</v>
      </c>
      <c r="B8" s="104">
        <v>37321</v>
      </c>
      <c r="C8" s="70">
        <v>20000</v>
      </c>
      <c r="D8" s="171" t="s">
        <v>39</v>
      </c>
      <c r="E8" s="170">
        <v>61.91</v>
      </c>
      <c r="F8" s="172">
        <v>6.006714014048977</v>
      </c>
      <c r="G8" s="502">
        <v>2002</v>
      </c>
      <c r="H8" s="513">
        <v>10830</v>
      </c>
      <c r="I8" s="92">
        <f>H8/100*F8</f>
        <v>650.5271277215041</v>
      </c>
      <c r="J8" s="226"/>
      <c r="K8" s="232"/>
      <c r="L8" s="226"/>
      <c r="M8" s="69"/>
      <c r="N8" s="69"/>
      <c r="O8" s="226">
        <f>I8-J8</f>
        <v>650.5271277215041</v>
      </c>
      <c r="P8" s="74"/>
      <c r="Q8" s="226"/>
    </row>
    <row r="9" spans="1:17" ht="15.75">
      <c r="A9" s="84"/>
      <c r="B9" s="365">
        <v>41464</v>
      </c>
      <c r="C9" s="70"/>
      <c r="D9" s="171" t="s">
        <v>56</v>
      </c>
      <c r="E9" s="170">
        <v>968.77</v>
      </c>
      <c r="F9" s="172">
        <v>93.99328598595102</v>
      </c>
      <c r="G9" s="512"/>
      <c r="H9" s="514"/>
      <c r="I9" s="138">
        <f>H8/100*F9</f>
        <v>10179.472872278495</v>
      </c>
      <c r="J9" s="226"/>
      <c r="K9" s="232"/>
      <c r="L9" s="226"/>
      <c r="M9" s="69"/>
      <c r="N9" s="69"/>
      <c r="O9" s="226">
        <f aca="true" t="shared" si="0" ref="O9:O31">I9-J9</f>
        <v>10179.472872278495</v>
      </c>
      <c r="P9" s="73"/>
      <c r="Q9" s="226"/>
    </row>
    <row r="10" spans="1:17" ht="15.75">
      <c r="A10" s="84"/>
      <c r="B10" s="85"/>
      <c r="C10" s="70">
        <v>20000</v>
      </c>
      <c r="D10" s="171" t="s">
        <v>39</v>
      </c>
      <c r="E10" s="170">
        <v>61.91</v>
      </c>
      <c r="F10" s="172">
        <v>6.006714014048977</v>
      </c>
      <c r="G10" s="502">
        <v>2003</v>
      </c>
      <c r="H10" s="513">
        <v>20000</v>
      </c>
      <c r="I10" s="92">
        <f>H10/100*F10</f>
        <v>1201.3428028097953</v>
      </c>
      <c r="J10" s="226"/>
      <c r="K10" s="77"/>
      <c r="L10" s="226"/>
      <c r="M10" s="69"/>
      <c r="N10" s="69"/>
      <c r="O10" s="226">
        <f t="shared" si="0"/>
        <v>1201.3428028097953</v>
      </c>
      <c r="P10" s="226"/>
      <c r="Q10" s="226"/>
    </row>
    <row r="11" spans="1:17" ht="15.75">
      <c r="A11" s="84"/>
      <c r="B11" s="85"/>
      <c r="C11" s="70"/>
      <c r="D11" s="171" t="s">
        <v>56</v>
      </c>
      <c r="E11" s="170">
        <v>968.77</v>
      </c>
      <c r="F11" s="172">
        <v>93.99328598595102</v>
      </c>
      <c r="G11" s="512"/>
      <c r="H11" s="514"/>
      <c r="I11" s="138">
        <f>H10/100*F11</f>
        <v>18798.657197190205</v>
      </c>
      <c r="J11" s="226"/>
      <c r="K11" s="77"/>
      <c r="L11" s="226"/>
      <c r="M11" s="69"/>
      <c r="N11" s="69"/>
      <c r="O11" s="226">
        <f t="shared" si="0"/>
        <v>18798.657197190205</v>
      </c>
      <c r="P11" s="226"/>
      <c r="Q11" s="226"/>
    </row>
    <row r="12" spans="1:17" ht="15.75">
      <c r="A12" s="84"/>
      <c r="B12" s="85"/>
      <c r="C12" s="70">
        <v>20000</v>
      </c>
      <c r="D12" s="171" t="s">
        <v>39</v>
      </c>
      <c r="E12" s="170">
        <v>61.91</v>
      </c>
      <c r="F12" s="172">
        <v>6.006714014048977</v>
      </c>
      <c r="G12" s="502">
        <v>2004</v>
      </c>
      <c r="H12" s="513">
        <v>20000</v>
      </c>
      <c r="I12" s="92">
        <f>H12/100*F12</f>
        <v>1201.3428028097953</v>
      </c>
      <c r="J12" s="226"/>
      <c r="K12" s="77"/>
      <c r="L12" s="226"/>
      <c r="M12" s="69"/>
      <c r="N12" s="69"/>
      <c r="O12" s="226">
        <f t="shared" si="0"/>
        <v>1201.3428028097953</v>
      </c>
      <c r="P12" s="226"/>
      <c r="Q12" s="226"/>
    </row>
    <row r="13" spans="1:17" ht="15.75">
      <c r="A13" s="84"/>
      <c r="B13" s="85"/>
      <c r="C13" s="70"/>
      <c r="D13" s="171" t="s">
        <v>56</v>
      </c>
      <c r="E13" s="170">
        <v>968.77</v>
      </c>
      <c r="F13" s="172">
        <v>93.99328598595102</v>
      </c>
      <c r="G13" s="512"/>
      <c r="H13" s="514"/>
      <c r="I13" s="138">
        <f>H12/100*F13</f>
        <v>18798.657197190205</v>
      </c>
      <c r="J13" s="226"/>
      <c r="K13" s="77"/>
      <c r="L13" s="226"/>
      <c r="M13" s="69"/>
      <c r="N13" s="69"/>
      <c r="O13" s="226">
        <f t="shared" si="0"/>
        <v>18798.657197190205</v>
      </c>
      <c r="P13" s="226"/>
      <c r="Q13" s="226"/>
    </row>
    <row r="14" spans="1:17" ht="15.75">
      <c r="A14" s="84"/>
      <c r="B14" s="85"/>
      <c r="C14" s="70">
        <v>20000</v>
      </c>
      <c r="D14" s="171" t="s">
        <v>39</v>
      </c>
      <c r="E14" s="170">
        <v>61.91</v>
      </c>
      <c r="F14" s="172">
        <v>6.006714014048977</v>
      </c>
      <c r="G14" s="502">
        <v>2005</v>
      </c>
      <c r="H14" s="513">
        <v>20000</v>
      </c>
      <c r="I14" s="92">
        <f>H14/100*F14</f>
        <v>1201.3428028097953</v>
      </c>
      <c r="J14" s="226"/>
      <c r="K14" s="77"/>
      <c r="L14" s="226"/>
      <c r="M14" s="69"/>
      <c r="N14" s="69"/>
      <c r="O14" s="226">
        <f t="shared" si="0"/>
        <v>1201.3428028097953</v>
      </c>
      <c r="P14" s="226"/>
      <c r="Q14" s="226"/>
    </row>
    <row r="15" spans="1:17" ht="15.75">
      <c r="A15" s="84"/>
      <c r="B15" s="85"/>
      <c r="C15" s="70"/>
      <c r="D15" s="171" t="s">
        <v>56</v>
      </c>
      <c r="E15" s="170">
        <v>968.77</v>
      </c>
      <c r="F15" s="172">
        <v>93.99328598595102</v>
      </c>
      <c r="G15" s="512"/>
      <c r="H15" s="514"/>
      <c r="I15" s="138">
        <f>H14/100*F15</f>
        <v>18798.657197190205</v>
      </c>
      <c r="J15" s="226"/>
      <c r="K15" s="77"/>
      <c r="L15" s="226"/>
      <c r="M15" s="69"/>
      <c r="N15" s="69"/>
      <c r="O15" s="226">
        <f t="shared" si="0"/>
        <v>18798.657197190205</v>
      </c>
      <c r="P15" s="226"/>
      <c r="Q15" s="226"/>
    </row>
    <row r="16" spans="1:17" ht="15.75">
      <c r="A16" s="84"/>
      <c r="B16" s="85"/>
      <c r="C16" s="70">
        <v>20000</v>
      </c>
      <c r="D16" s="171" t="s">
        <v>39</v>
      </c>
      <c r="E16" s="170">
        <v>61.91</v>
      </c>
      <c r="F16" s="172">
        <v>6.006714014048977</v>
      </c>
      <c r="G16" s="502">
        <v>2006</v>
      </c>
      <c r="H16" s="513">
        <v>20000</v>
      </c>
      <c r="I16" s="92">
        <f>H16/100*F16</f>
        <v>1201.3428028097953</v>
      </c>
      <c r="J16" s="226"/>
      <c r="K16" s="77"/>
      <c r="L16" s="226"/>
      <c r="M16" s="69"/>
      <c r="N16" s="69"/>
      <c r="O16" s="226">
        <f t="shared" si="0"/>
        <v>1201.3428028097953</v>
      </c>
      <c r="P16" s="226"/>
      <c r="Q16" s="226"/>
    </row>
    <row r="17" spans="1:17" ht="15.75">
      <c r="A17" s="84"/>
      <c r="B17" s="85"/>
      <c r="C17" s="70"/>
      <c r="D17" s="171" t="s">
        <v>56</v>
      </c>
      <c r="E17" s="170">
        <v>968.77</v>
      </c>
      <c r="F17" s="172">
        <v>93.99328598595102</v>
      </c>
      <c r="G17" s="512"/>
      <c r="H17" s="514"/>
      <c r="I17" s="138">
        <f>H16/100*F17</f>
        <v>18798.657197190205</v>
      </c>
      <c r="J17" s="226"/>
      <c r="K17" s="77"/>
      <c r="L17" s="226"/>
      <c r="M17" s="69"/>
      <c r="N17" s="69"/>
      <c r="O17" s="226">
        <f t="shared" si="0"/>
        <v>18798.657197190205</v>
      </c>
      <c r="P17" s="226"/>
      <c r="Q17" s="226"/>
    </row>
    <row r="18" spans="1:17" ht="15.75">
      <c r="A18" s="84"/>
      <c r="B18" s="85"/>
      <c r="C18" s="70">
        <v>20000</v>
      </c>
      <c r="D18" s="171" t="s">
        <v>39</v>
      </c>
      <c r="E18" s="170">
        <v>61.91</v>
      </c>
      <c r="F18" s="172">
        <v>6.006714014048977</v>
      </c>
      <c r="G18" s="502">
        <v>2007</v>
      </c>
      <c r="H18" s="513">
        <v>20000</v>
      </c>
      <c r="I18" s="92">
        <f>H18/100*F18</f>
        <v>1201.3428028097953</v>
      </c>
      <c r="J18" s="226"/>
      <c r="K18" s="77"/>
      <c r="L18" s="226"/>
      <c r="M18" s="69"/>
      <c r="N18" s="69"/>
      <c r="O18" s="226">
        <f t="shared" si="0"/>
        <v>1201.3428028097953</v>
      </c>
      <c r="P18" s="226"/>
      <c r="Q18" s="226"/>
    </row>
    <row r="19" spans="1:17" ht="15.75">
      <c r="A19" s="84"/>
      <c r="B19" s="85"/>
      <c r="C19" s="70"/>
      <c r="D19" s="171" t="s">
        <v>56</v>
      </c>
      <c r="E19" s="170">
        <v>968.77</v>
      </c>
      <c r="F19" s="172">
        <v>93.99328598595102</v>
      </c>
      <c r="G19" s="512"/>
      <c r="H19" s="514"/>
      <c r="I19" s="138">
        <f>H18/100*F19</f>
        <v>18798.657197190205</v>
      </c>
      <c r="J19" s="226"/>
      <c r="K19" s="77"/>
      <c r="L19" s="226"/>
      <c r="M19" s="69"/>
      <c r="N19" s="69"/>
      <c r="O19" s="226">
        <f t="shared" si="0"/>
        <v>18798.657197190205</v>
      </c>
      <c r="P19" s="226"/>
      <c r="Q19" s="226"/>
    </row>
    <row r="20" spans="1:17" ht="15.75">
      <c r="A20" s="84"/>
      <c r="B20" s="85"/>
      <c r="C20" s="70">
        <v>20000</v>
      </c>
      <c r="D20" s="171" t="s">
        <v>39</v>
      </c>
      <c r="E20" s="170">
        <v>61.91</v>
      </c>
      <c r="F20" s="172">
        <v>6.006714014048977</v>
      </c>
      <c r="G20" s="502">
        <v>2008</v>
      </c>
      <c r="H20" s="513">
        <v>20000</v>
      </c>
      <c r="I20" s="92">
        <f>H20/100*F20</f>
        <v>1201.3428028097953</v>
      </c>
      <c r="J20" s="226"/>
      <c r="K20" s="77"/>
      <c r="L20" s="226"/>
      <c r="M20" s="69"/>
      <c r="N20" s="69"/>
      <c r="O20" s="226">
        <f t="shared" si="0"/>
        <v>1201.3428028097953</v>
      </c>
      <c r="P20" s="226"/>
      <c r="Q20" s="226"/>
    </row>
    <row r="21" spans="1:17" ht="15.75">
      <c r="A21" s="84"/>
      <c r="B21" s="85"/>
      <c r="C21" s="70"/>
      <c r="D21" s="171" t="s">
        <v>56</v>
      </c>
      <c r="E21" s="170">
        <v>968.77</v>
      </c>
      <c r="F21" s="172">
        <v>93.99328598595102</v>
      </c>
      <c r="G21" s="512"/>
      <c r="H21" s="514"/>
      <c r="I21" s="138">
        <f>H20/100*F21</f>
        <v>18798.657197190205</v>
      </c>
      <c r="J21" s="226"/>
      <c r="K21" s="77"/>
      <c r="L21" s="226"/>
      <c r="M21" s="69"/>
      <c r="N21" s="69"/>
      <c r="O21" s="226">
        <f t="shared" si="0"/>
        <v>18798.657197190205</v>
      </c>
      <c r="P21" s="226"/>
      <c r="Q21" s="226"/>
    </row>
    <row r="22" spans="1:17" ht="15.75">
      <c r="A22" s="84"/>
      <c r="B22" s="85"/>
      <c r="C22" s="70">
        <v>20000</v>
      </c>
      <c r="D22" s="171" t="s">
        <v>39</v>
      </c>
      <c r="E22" s="170">
        <v>61.91</v>
      </c>
      <c r="F22" s="172">
        <v>6.006714014048977</v>
      </c>
      <c r="G22" s="502">
        <v>2009</v>
      </c>
      <c r="H22" s="513">
        <v>20000</v>
      </c>
      <c r="I22" s="92">
        <f>H22/100*F22</f>
        <v>1201.3428028097953</v>
      </c>
      <c r="J22" s="233"/>
      <c r="K22" s="123"/>
      <c r="L22" s="233"/>
      <c r="M22" s="124"/>
      <c r="N22" s="124"/>
      <c r="O22" s="226">
        <f t="shared" si="0"/>
        <v>1201.3428028097953</v>
      </c>
      <c r="P22" s="233"/>
      <c r="Q22" s="233"/>
    </row>
    <row r="23" spans="1:17" ht="15.75">
      <c r="A23" s="84"/>
      <c r="B23" s="85"/>
      <c r="C23" s="70"/>
      <c r="D23" s="171" t="s">
        <v>56</v>
      </c>
      <c r="E23" s="170">
        <v>968.77</v>
      </c>
      <c r="F23" s="172">
        <v>93.99328598595102</v>
      </c>
      <c r="G23" s="512"/>
      <c r="H23" s="514"/>
      <c r="I23" s="138">
        <f>H22/100*F23</f>
        <v>18798.657197190205</v>
      </c>
      <c r="J23" s="233"/>
      <c r="K23" s="136"/>
      <c r="L23" s="233"/>
      <c r="M23" s="124"/>
      <c r="N23" s="124"/>
      <c r="O23" s="226">
        <f t="shared" si="0"/>
        <v>18798.657197190205</v>
      </c>
      <c r="P23" s="233"/>
      <c r="Q23" s="233"/>
    </row>
    <row r="24" spans="1:17" ht="15.75" customHeight="1">
      <c r="A24" s="84"/>
      <c r="B24" s="85"/>
      <c r="C24" s="70">
        <v>20000</v>
      </c>
      <c r="D24" s="171" t="s">
        <v>39</v>
      </c>
      <c r="E24" s="170">
        <v>61.91</v>
      </c>
      <c r="F24" s="172">
        <v>6.006714014048977</v>
      </c>
      <c r="G24" s="502">
        <v>2010</v>
      </c>
      <c r="H24" s="513">
        <v>20000</v>
      </c>
      <c r="I24" s="92">
        <f>H24/100*F24</f>
        <v>1201.3428028097953</v>
      </c>
      <c r="J24" s="515"/>
      <c r="K24" s="489"/>
      <c r="L24" s="226"/>
      <c r="M24" s="492"/>
      <c r="N24" s="69"/>
      <c r="O24" s="226">
        <f t="shared" si="0"/>
        <v>1201.3428028097953</v>
      </c>
      <c r="P24" s="226"/>
      <c r="Q24" s="495"/>
    </row>
    <row r="25" spans="1:17" ht="74.25" customHeight="1">
      <c r="A25" s="84"/>
      <c r="B25" s="85"/>
      <c r="C25" s="70"/>
      <c r="D25" s="171" t="s">
        <v>56</v>
      </c>
      <c r="E25" s="170">
        <v>968.77</v>
      </c>
      <c r="F25" s="172">
        <v>93.99328598595102</v>
      </c>
      <c r="G25" s="512"/>
      <c r="H25" s="514"/>
      <c r="I25" s="138">
        <f>H24/100*F25</f>
        <v>18798.657197190205</v>
      </c>
      <c r="J25" s="516"/>
      <c r="K25" s="490"/>
      <c r="L25" s="226"/>
      <c r="M25" s="494"/>
      <c r="N25" s="69"/>
      <c r="O25" s="226">
        <f t="shared" si="0"/>
        <v>18798.657197190205</v>
      </c>
      <c r="P25" s="226"/>
      <c r="Q25" s="497"/>
    </row>
    <row r="26" spans="1:17" ht="15.75" customHeight="1">
      <c r="A26" s="84"/>
      <c r="B26" s="85"/>
      <c r="C26" s="70">
        <v>20000</v>
      </c>
      <c r="D26" s="171" t="s">
        <v>39</v>
      </c>
      <c r="E26" s="170">
        <v>61.91</v>
      </c>
      <c r="F26" s="172">
        <v>6.006714014048977</v>
      </c>
      <c r="G26" s="502">
        <v>2011</v>
      </c>
      <c r="H26" s="513">
        <v>20000</v>
      </c>
      <c r="I26" s="92">
        <f>H26/100*F26</f>
        <v>1201.3428028097953</v>
      </c>
      <c r="J26" s="314"/>
      <c r="K26" s="505"/>
      <c r="L26" s="226"/>
      <c r="M26" s="492"/>
      <c r="N26" s="69"/>
      <c r="O26" s="226">
        <f t="shared" si="0"/>
        <v>1201.3428028097953</v>
      </c>
      <c r="P26" s="226"/>
      <c r="Q26" s="495"/>
    </row>
    <row r="27" spans="1:17" ht="63.75" customHeight="1">
      <c r="A27" s="84"/>
      <c r="B27" s="85"/>
      <c r="C27" s="70"/>
      <c r="D27" s="171" t="s">
        <v>56</v>
      </c>
      <c r="E27" s="170">
        <v>968.77</v>
      </c>
      <c r="F27" s="172">
        <v>93.99328598595102</v>
      </c>
      <c r="G27" s="512"/>
      <c r="H27" s="514"/>
      <c r="I27" s="138">
        <f>H26/100*F27</f>
        <v>18798.657197190205</v>
      </c>
      <c r="J27" s="314"/>
      <c r="K27" s="506"/>
      <c r="L27" s="226"/>
      <c r="M27" s="494"/>
      <c r="N27" s="69"/>
      <c r="O27" s="226">
        <f t="shared" si="0"/>
        <v>18798.657197190205</v>
      </c>
      <c r="P27" s="226"/>
      <c r="Q27" s="497"/>
    </row>
    <row r="28" spans="1:17" ht="15.75" customHeight="1">
      <c r="A28" s="84"/>
      <c r="B28" s="85"/>
      <c r="C28" s="70">
        <v>20000</v>
      </c>
      <c r="D28" s="171" t="s">
        <v>39</v>
      </c>
      <c r="E28" s="170">
        <v>61.91</v>
      </c>
      <c r="F28" s="172">
        <v>6.006714014048977</v>
      </c>
      <c r="G28" s="502">
        <v>2012</v>
      </c>
      <c r="H28" s="513">
        <v>20000</v>
      </c>
      <c r="I28" s="92">
        <f>H28/100*F28</f>
        <v>1201.3428028097953</v>
      </c>
      <c r="J28" s="515"/>
      <c r="K28" s="505"/>
      <c r="L28" s="226"/>
      <c r="M28" s="492"/>
      <c r="N28" s="69"/>
      <c r="O28" s="226">
        <f t="shared" si="0"/>
        <v>1201.3428028097953</v>
      </c>
      <c r="P28" s="226"/>
      <c r="Q28" s="495"/>
    </row>
    <row r="29" spans="1:17" ht="65.25" customHeight="1">
      <c r="A29" s="84"/>
      <c r="B29" s="85"/>
      <c r="C29" s="70"/>
      <c r="D29" s="171" t="s">
        <v>56</v>
      </c>
      <c r="E29" s="170">
        <v>968.77</v>
      </c>
      <c r="F29" s="172">
        <v>93.99328598595102</v>
      </c>
      <c r="G29" s="512"/>
      <c r="H29" s="514"/>
      <c r="I29" s="138">
        <f>H28/100*F29</f>
        <v>18798.657197190205</v>
      </c>
      <c r="J29" s="516"/>
      <c r="K29" s="506"/>
      <c r="L29" s="226"/>
      <c r="M29" s="494"/>
      <c r="N29" s="69"/>
      <c r="O29" s="226">
        <f t="shared" si="0"/>
        <v>18798.657197190205</v>
      </c>
      <c r="P29" s="226"/>
      <c r="Q29" s="497"/>
    </row>
    <row r="30" spans="1:17" ht="15.75">
      <c r="A30" s="84"/>
      <c r="B30" s="85"/>
      <c r="C30" s="70">
        <v>20000</v>
      </c>
      <c r="D30" s="171" t="s">
        <v>39</v>
      </c>
      <c r="E30" s="170">
        <v>61.91</v>
      </c>
      <c r="F30" s="172">
        <v>6.006714014048977</v>
      </c>
      <c r="G30" s="502">
        <v>2013</v>
      </c>
      <c r="H30" s="513">
        <v>13722</v>
      </c>
      <c r="I30" s="92">
        <f>H30/100*F30</f>
        <v>824.2412970078005</v>
      </c>
      <c r="J30" s="515"/>
      <c r="K30" s="505"/>
      <c r="L30" s="226"/>
      <c r="M30" s="492"/>
      <c r="N30" s="69"/>
      <c r="O30" s="226">
        <f t="shared" si="0"/>
        <v>824.2412970078005</v>
      </c>
      <c r="P30" s="226"/>
      <c r="Q30" s="495"/>
    </row>
    <row r="31" spans="1:17" ht="72" customHeight="1">
      <c r="A31" s="84"/>
      <c r="B31" s="85"/>
      <c r="C31" s="70"/>
      <c r="D31" s="171" t="s">
        <v>56</v>
      </c>
      <c r="E31" s="170">
        <v>968.77</v>
      </c>
      <c r="F31" s="172">
        <v>93.99328598595102</v>
      </c>
      <c r="G31" s="503"/>
      <c r="H31" s="517"/>
      <c r="I31" s="138">
        <f>H30/100*F31</f>
        <v>12897.758702992198</v>
      </c>
      <c r="J31" s="516"/>
      <c r="K31" s="506"/>
      <c r="L31" s="226"/>
      <c r="M31" s="494"/>
      <c r="N31" s="69"/>
      <c r="O31" s="226">
        <f t="shared" si="0"/>
        <v>12897.758702992198</v>
      </c>
      <c r="P31" s="226"/>
      <c r="Q31" s="497"/>
    </row>
    <row r="32" spans="1:17" ht="15.75">
      <c r="A32" s="444" t="s">
        <v>54</v>
      </c>
      <c r="B32" s="445"/>
      <c r="C32" s="445"/>
      <c r="D32" s="445"/>
      <c r="E32" s="445"/>
      <c r="F32" s="446"/>
      <c r="G32" s="116"/>
      <c r="H32" s="173">
        <f>SUM(H8:H31)</f>
        <v>224552</v>
      </c>
      <c r="I32" s="173">
        <f>SUM(I8:I31)</f>
        <v>224552</v>
      </c>
      <c r="J32" s="116">
        <f>SUM(J9:J31)</f>
        <v>0</v>
      </c>
      <c r="K32" s="117"/>
      <c r="L32" s="116"/>
      <c r="M32" s="118"/>
      <c r="N32" s="118"/>
      <c r="O32" s="116">
        <f>SUM(O8:O31)</f>
        <v>224552</v>
      </c>
      <c r="P32" s="116"/>
      <c r="Q32" s="116"/>
    </row>
    <row r="33" ht="15.75" thickBot="1"/>
    <row r="34" spans="4:12" ht="15">
      <c r="D34" s="398" t="s">
        <v>78</v>
      </c>
      <c r="E34" s="394" t="s">
        <v>75</v>
      </c>
      <c r="F34" s="394"/>
      <c r="G34" s="400"/>
      <c r="H34" s="400"/>
      <c r="I34" s="402" t="s">
        <v>76</v>
      </c>
      <c r="J34" s="404" t="s">
        <v>77</v>
      </c>
      <c r="K34" s="394" t="s">
        <v>79</v>
      </c>
      <c r="L34" s="396" t="s">
        <v>80</v>
      </c>
    </row>
    <row r="35" spans="4:12" ht="15.75" thickBot="1">
      <c r="D35" s="469"/>
      <c r="E35" s="220" t="s">
        <v>81</v>
      </c>
      <c r="F35" s="220" t="s">
        <v>18</v>
      </c>
      <c r="G35" s="447"/>
      <c r="H35" s="447"/>
      <c r="I35" s="448"/>
      <c r="J35" s="449"/>
      <c r="K35" s="507"/>
      <c r="L35" s="453"/>
    </row>
    <row r="36" spans="4:12" ht="15">
      <c r="D36" s="174" t="s">
        <v>39</v>
      </c>
      <c r="E36" s="175">
        <v>61.91</v>
      </c>
      <c r="F36" s="176">
        <v>6.006714014048977</v>
      </c>
      <c r="G36" s="111"/>
      <c r="H36" s="112"/>
      <c r="I36" s="106">
        <f>SUM(I30,I28,I26,I24,I22,I20,I18,I16,I14,I12,I10,I8)</f>
        <v>13488.196452827257</v>
      </c>
      <c r="J36" s="106"/>
      <c r="K36" s="177"/>
      <c r="L36" s="106">
        <f>I36-J36</f>
        <v>13488.196452827257</v>
      </c>
    </row>
    <row r="37" spans="4:12" ht="15">
      <c r="D37" s="174" t="s">
        <v>56</v>
      </c>
      <c r="E37" s="175">
        <v>968.77</v>
      </c>
      <c r="F37" s="176">
        <v>93.99328598595102</v>
      </c>
      <c r="G37" s="111"/>
      <c r="H37" s="112"/>
      <c r="I37" s="106">
        <f>SUM(I31,I29,I27,I25,I23,I21,I19,I17,I15,I13,I11,I9)</f>
        <v>211063.80354717278</v>
      </c>
      <c r="J37" s="106"/>
      <c r="K37" s="111"/>
      <c r="L37" s="106">
        <f>I37-J37</f>
        <v>211063.80354717278</v>
      </c>
    </row>
    <row r="38" spans="1:12" ht="15">
      <c r="A38" t="s">
        <v>69</v>
      </c>
      <c r="J38" s="38">
        <v>50000</v>
      </c>
      <c r="L38" s="38"/>
    </row>
    <row r="39" spans="4:12" ht="15.75">
      <c r="D39" s="197" t="s">
        <v>27</v>
      </c>
      <c r="E39" s="197"/>
      <c r="F39" s="197"/>
      <c r="G39" s="197"/>
      <c r="H39" s="197"/>
      <c r="I39" s="198">
        <f>SUM(I36:I38)</f>
        <v>224552.00000000003</v>
      </c>
      <c r="J39" s="198">
        <f>SUM(J36:J38)</f>
        <v>50000</v>
      </c>
      <c r="K39" s="197"/>
      <c r="L39" s="198">
        <f>I39-J39</f>
        <v>174552.00000000003</v>
      </c>
    </row>
  </sheetData>
  <sheetProtection/>
  <mergeCells count="66">
    <mergeCell ref="J34:J35"/>
    <mergeCell ref="K34:K35"/>
    <mergeCell ref="L34:L35"/>
    <mergeCell ref="A32:F32"/>
    <mergeCell ref="D34:D35"/>
    <mergeCell ref="E34:F34"/>
    <mergeCell ref="G34:G35"/>
    <mergeCell ref="H34:H35"/>
    <mergeCell ref="I34:I35"/>
    <mergeCell ref="Q28:Q29"/>
    <mergeCell ref="G30:G31"/>
    <mergeCell ref="H30:H31"/>
    <mergeCell ref="J30:J31"/>
    <mergeCell ref="K30:K31"/>
    <mergeCell ref="M30:M31"/>
    <mergeCell ref="Q30:Q31"/>
    <mergeCell ref="G26:G27"/>
    <mergeCell ref="H26:H27"/>
    <mergeCell ref="K26:K27"/>
    <mergeCell ref="M26:M27"/>
    <mergeCell ref="Q26:Q27"/>
    <mergeCell ref="G28:G29"/>
    <mergeCell ref="H28:H29"/>
    <mergeCell ref="J28:J29"/>
    <mergeCell ref="K28:K29"/>
    <mergeCell ref="M28:M29"/>
    <mergeCell ref="G24:G25"/>
    <mergeCell ref="H24:H25"/>
    <mergeCell ref="J24:J25"/>
    <mergeCell ref="K24:K25"/>
    <mergeCell ref="M24:M25"/>
    <mergeCell ref="Q24:Q25"/>
    <mergeCell ref="G18:G19"/>
    <mergeCell ref="H18:H19"/>
    <mergeCell ref="G20:G21"/>
    <mergeCell ref="H20:H21"/>
    <mergeCell ref="G22:G23"/>
    <mergeCell ref="H22:H23"/>
    <mergeCell ref="G12:G13"/>
    <mergeCell ref="H12:H13"/>
    <mergeCell ref="G14:G15"/>
    <mergeCell ref="H14:H15"/>
    <mergeCell ref="G16:G17"/>
    <mergeCell ref="H16:H17"/>
    <mergeCell ref="G10:G11"/>
    <mergeCell ref="H10:H11"/>
    <mergeCell ref="K5:K6"/>
    <mergeCell ref="L5:L6"/>
    <mergeCell ref="M5:M6"/>
    <mergeCell ref="N5:N6"/>
    <mergeCell ref="E7:F7"/>
    <mergeCell ref="G8:G9"/>
    <mergeCell ref="H8:H9"/>
    <mergeCell ref="I5:I6"/>
    <mergeCell ref="J5:J6"/>
    <mergeCell ref="O5:O6"/>
    <mergeCell ref="A1:Q2"/>
    <mergeCell ref="A4:A6"/>
    <mergeCell ref="B4:B6"/>
    <mergeCell ref="C4:C6"/>
    <mergeCell ref="D4:D6"/>
    <mergeCell ref="E4:F5"/>
    <mergeCell ref="G4:Q4"/>
    <mergeCell ref="G5:H5"/>
    <mergeCell ref="Q5:Q6"/>
    <mergeCell ref="P5:P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60" zoomScaleNormal="80" zoomScalePageLayoutView="0" workbookViewId="0" topLeftCell="A28">
      <selection activeCell="G51" sqref="G51:G53"/>
    </sheetView>
  </sheetViews>
  <sheetFormatPr defaultColWidth="9.140625" defaultRowHeight="15"/>
  <cols>
    <col min="1" max="1" width="15.28125" style="0" customWidth="1"/>
    <col min="2" max="2" width="10.57421875" style="0" bestFit="1" customWidth="1"/>
    <col min="4" max="4" width="11.28125" style="0" customWidth="1"/>
    <col min="7" max="7" width="22.00390625" style="0" bestFit="1" customWidth="1"/>
    <col min="8" max="8" width="12.421875" style="0" bestFit="1" customWidth="1"/>
    <col min="9" max="9" width="13.8515625" style="0" customWidth="1"/>
    <col min="10" max="10" width="14.421875" style="0" customWidth="1"/>
    <col min="11" max="11" width="42.421875" style="0" customWidth="1"/>
    <col min="12" max="12" width="15.8515625" style="0" bestFit="1" customWidth="1"/>
    <col min="13" max="13" width="15.7109375" style="0" customWidth="1"/>
    <col min="14" max="14" width="23.00390625" style="0" customWidth="1"/>
    <col min="15" max="15" width="14.00390625" style="0" customWidth="1"/>
    <col min="16" max="16" width="11.7109375" style="0" customWidth="1"/>
    <col min="17" max="17" width="20.421875" style="0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59.25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59.2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47.25">
      <c r="A8" s="100" t="s">
        <v>64</v>
      </c>
      <c r="B8" s="104" t="s">
        <v>109</v>
      </c>
      <c r="C8" s="190" t="s">
        <v>63</v>
      </c>
      <c r="D8" s="153"/>
      <c r="E8" s="153"/>
      <c r="F8" s="153"/>
      <c r="G8" s="153" t="s">
        <v>65</v>
      </c>
      <c r="H8" s="153"/>
      <c r="I8" s="152"/>
      <c r="J8" s="70"/>
      <c r="K8" s="77"/>
      <c r="L8" s="70"/>
      <c r="M8" s="154"/>
      <c r="N8" s="154"/>
      <c r="O8" s="70"/>
      <c r="P8" s="77"/>
      <c r="Q8" s="70"/>
    </row>
    <row r="9" spans="1:17" ht="15.75">
      <c r="A9" s="84"/>
      <c r="B9" s="366">
        <v>40666</v>
      </c>
      <c r="C9" s="191">
        <v>20000</v>
      </c>
      <c r="D9" s="233" t="s">
        <v>43</v>
      </c>
      <c r="E9" s="233">
        <v>145.99</v>
      </c>
      <c r="F9" s="127">
        <v>84.32878927911275</v>
      </c>
      <c r="G9" s="441">
        <v>2003</v>
      </c>
      <c r="H9" s="441">
        <f>20000+109608</f>
        <v>129608</v>
      </c>
      <c r="I9" s="187">
        <f>H9/100*F9</f>
        <v>109296.85720887245</v>
      </c>
      <c r="J9" s="233"/>
      <c r="K9" s="232"/>
      <c r="L9" s="226"/>
      <c r="M9" s="69"/>
      <c r="N9" s="69"/>
      <c r="O9" s="226">
        <f>I9-J9</f>
        <v>109296.85720887245</v>
      </c>
      <c r="P9" s="226"/>
      <c r="Q9" s="226"/>
    </row>
    <row r="10" spans="1:17" ht="15.75">
      <c r="A10" s="84"/>
      <c r="B10" s="82"/>
      <c r="C10" s="191"/>
      <c r="D10" s="233" t="s">
        <v>57</v>
      </c>
      <c r="E10" s="233">
        <v>4.58</v>
      </c>
      <c r="F10" s="127">
        <v>2.645563770794824</v>
      </c>
      <c r="G10" s="439"/>
      <c r="H10" s="439"/>
      <c r="I10" s="188">
        <f>H9/100*F10</f>
        <v>3428.8622920517555</v>
      </c>
      <c r="J10" s="233"/>
      <c r="K10" s="232"/>
      <c r="L10" s="226"/>
      <c r="M10" s="69"/>
      <c r="N10" s="69"/>
      <c r="O10" s="226">
        <f aca="true" t="shared" si="0" ref="O10:O34">I10-J10</f>
        <v>3428.8622920517555</v>
      </c>
      <c r="P10" s="226"/>
      <c r="Q10" s="226"/>
    </row>
    <row r="11" spans="1:17" ht="15.75">
      <c r="A11" s="84"/>
      <c r="B11" s="82"/>
      <c r="C11" s="191"/>
      <c r="D11" s="233" t="s">
        <v>44</v>
      </c>
      <c r="E11" s="233">
        <v>22.55</v>
      </c>
      <c r="F11" s="127">
        <v>13.02564695009242</v>
      </c>
      <c r="G11" s="440"/>
      <c r="H11" s="440"/>
      <c r="I11" s="188">
        <f>H9/100*F11</f>
        <v>16882.280499075783</v>
      </c>
      <c r="J11" s="233"/>
      <c r="K11" s="232"/>
      <c r="L11" s="226"/>
      <c r="M11" s="69"/>
      <c r="N11" s="69"/>
      <c r="O11" s="226">
        <f t="shared" si="0"/>
        <v>16882.280499075783</v>
      </c>
      <c r="P11" s="226"/>
      <c r="Q11" s="226"/>
    </row>
    <row r="12" spans="1:17" ht="15.75">
      <c r="A12" s="84"/>
      <c r="B12" s="82"/>
      <c r="C12" s="191">
        <v>20000</v>
      </c>
      <c r="D12" s="233" t="s">
        <v>43</v>
      </c>
      <c r="E12" s="233">
        <v>145.99</v>
      </c>
      <c r="F12" s="127">
        <v>84.32878927911275</v>
      </c>
      <c r="G12" s="441">
        <v>2004</v>
      </c>
      <c r="H12" s="441">
        <v>20000</v>
      </c>
      <c r="I12" s="187">
        <f>H12/100*F12</f>
        <v>16865.75785582255</v>
      </c>
      <c r="J12" s="233"/>
      <c r="K12" s="232"/>
      <c r="L12" s="226"/>
      <c r="M12" s="69"/>
      <c r="N12" s="69"/>
      <c r="O12" s="226">
        <f t="shared" si="0"/>
        <v>16865.75785582255</v>
      </c>
      <c r="P12" s="226"/>
      <c r="Q12" s="226"/>
    </row>
    <row r="13" spans="1:17" ht="15.75">
      <c r="A13" s="84"/>
      <c r="B13" s="82"/>
      <c r="C13" s="191"/>
      <c r="D13" s="233" t="s">
        <v>57</v>
      </c>
      <c r="E13" s="233">
        <v>4.58</v>
      </c>
      <c r="F13" s="127">
        <v>2.645563770794824</v>
      </c>
      <c r="G13" s="439"/>
      <c r="H13" s="439"/>
      <c r="I13" s="188">
        <f>H12/100*F13</f>
        <v>529.1127541589648</v>
      </c>
      <c r="J13" s="233"/>
      <c r="K13" s="232"/>
      <c r="L13" s="226"/>
      <c r="M13" s="69"/>
      <c r="N13" s="69"/>
      <c r="O13" s="226">
        <f t="shared" si="0"/>
        <v>529.1127541589648</v>
      </c>
      <c r="P13" s="226"/>
      <c r="Q13" s="226"/>
    </row>
    <row r="14" spans="1:17" ht="15.75">
      <c r="A14" s="84"/>
      <c r="B14" s="82"/>
      <c r="C14" s="191"/>
      <c r="D14" s="233" t="s">
        <v>44</v>
      </c>
      <c r="E14" s="233">
        <v>22.55</v>
      </c>
      <c r="F14" s="127">
        <v>13.02564695009242</v>
      </c>
      <c r="G14" s="440"/>
      <c r="H14" s="440"/>
      <c r="I14" s="188">
        <f>H12/100*F14</f>
        <v>2605.129390018484</v>
      </c>
      <c r="J14" s="233"/>
      <c r="K14" s="232"/>
      <c r="L14" s="226"/>
      <c r="M14" s="69"/>
      <c r="N14" s="69"/>
      <c r="O14" s="226">
        <f t="shared" si="0"/>
        <v>2605.129390018484</v>
      </c>
      <c r="P14" s="226"/>
      <c r="Q14" s="226"/>
    </row>
    <row r="15" spans="1:17" ht="15.75">
      <c r="A15" s="84"/>
      <c r="B15" s="82"/>
      <c r="C15" s="191">
        <v>40000</v>
      </c>
      <c r="D15" s="233" t="s">
        <v>43</v>
      </c>
      <c r="E15" s="233">
        <v>145.99</v>
      </c>
      <c r="F15" s="127">
        <v>84.32878927911275</v>
      </c>
      <c r="G15" s="441">
        <v>2005</v>
      </c>
      <c r="H15" s="441">
        <v>40000</v>
      </c>
      <c r="I15" s="187">
        <f>H15/100*F15</f>
        <v>33731.5157116451</v>
      </c>
      <c r="J15" s="164"/>
      <c r="K15" s="232"/>
      <c r="L15" s="226"/>
      <c r="M15" s="69"/>
      <c r="N15" s="69"/>
      <c r="O15" s="226">
        <f t="shared" si="0"/>
        <v>33731.5157116451</v>
      </c>
      <c r="P15" s="226"/>
      <c r="Q15" s="226"/>
    </row>
    <row r="16" spans="1:17" ht="15.75">
      <c r="A16" s="84"/>
      <c r="B16" s="82"/>
      <c r="C16" s="191"/>
      <c r="D16" s="233" t="s">
        <v>57</v>
      </c>
      <c r="E16" s="233">
        <v>4.58</v>
      </c>
      <c r="F16" s="127">
        <v>2.645563770794824</v>
      </c>
      <c r="G16" s="439"/>
      <c r="H16" s="439"/>
      <c r="I16" s="188">
        <f>H15/100*F16</f>
        <v>1058.2255083179296</v>
      </c>
      <c r="J16" s="164"/>
      <c r="K16" s="232"/>
      <c r="L16" s="226"/>
      <c r="M16" s="69"/>
      <c r="N16" s="69"/>
      <c r="O16" s="226">
        <f t="shared" si="0"/>
        <v>1058.2255083179296</v>
      </c>
      <c r="P16" s="226"/>
      <c r="Q16" s="226"/>
    </row>
    <row r="17" spans="1:17" ht="15.75">
      <c r="A17" s="84"/>
      <c r="B17" s="82"/>
      <c r="C17" s="191"/>
      <c r="D17" s="233" t="s">
        <v>44</v>
      </c>
      <c r="E17" s="233">
        <v>22.55</v>
      </c>
      <c r="F17" s="127">
        <v>13.02564695009242</v>
      </c>
      <c r="G17" s="440"/>
      <c r="H17" s="440"/>
      <c r="I17" s="188">
        <f>H15/100*F17</f>
        <v>5210.258780036968</v>
      </c>
      <c r="J17" s="164"/>
      <c r="K17" s="232"/>
      <c r="L17" s="226"/>
      <c r="M17" s="69"/>
      <c r="N17" s="69"/>
      <c r="O17" s="226">
        <f t="shared" si="0"/>
        <v>5210.258780036968</v>
      </c>
      <c r="P17" s="226"/>
      <c r="Q17" s="226"/>
    </row>
    <row r="18" spans="1:17" ht="15.75">
      <c r="A18" s="84"/>
      <c r="B18" s="82"/>
      <c r="C18" s="191">
        <v>40000</v>
      </c>
      <c r="D18" s="233" t="s">
        <v>43</v>
      </c>
      <c r="E18" s="233">
        <v>145.99</v>
      </c>
      <c r="F18" s="127">
        <v>84.32878927911275</v>
      </c>
      <c r="G18" s="441">
        <v>2006</v>
      </c>
      <c r="H18" s="441">
        <v>40000</v>
      </c>
      <c r="I18" s="187">
        <f>H18/100*F18</f>
        <v>33731.5157116451</v>
      </c>
      <c r="J18" s="164"/>
      <c r="K18" s="232"/>
      <c r="L18" s="226"/>
      <c r="M18" s="69"/>
      <c r="N18" s="69"/>
      <c r="O18" s="226">
        <f t="shared" si="0"/>
        <v>33731.5157116451</v>
      </c>
      <c r="P18" s="226"/>
      <c r="Q18" s="226"/>
    </row>
    <row r="19" spans="1:17" ht="15.75">
      <c r="A19" s="84"/>
      <c r="B19" s="82"/>
      <c r="C19" s="191"/>
      <c r="D19" s="233" t="s">
        <v>57</v>
      </c>
      <c r="E19" s="233">
        <v>4.58</v>
      </c>
      <c r="F19" s="127">
        <v>2.645563770794824</v>
      </c>
      <c r="G19" s="439"/>
      <c r="H19" s="439"/>
      <c r="I19" s="188">
        <f>H18/100*F19</f>
        <v>1058.2255083179296</v>
      </c>
      <c r="J19" s="164"/>
      <c r="K19" s="232"/>
      <c r="L19" s="226"/>
      <c r="M19" s="69"/>
      <c r="N19" s="69"/>
      <c r="O19" s="226">
        <f t="shared" si="0"/>
        <v>1058.2255083179296</v>
      </c>
      <c r="P19" s="226"/>
      <c r="Q19" s="226"/>
    </row>
    <row r="20" spans="1:17" ht="15.75">
      <c r="A20" s="84"/>
      <c r="B20" s="82"/>
      <c r="C20" s="191"/>
      <c r="D20" s="233" t="s">
        <v>44</v>
      </c>
      <c r="E20" s="233">
        <v>22.55</v>
      </c>
      <c r="F20" s="127">
        <v>13.02564695009242</v>
      </c>
      <c r="G20" s="440"/>
      <c r="H20" s="440"/>
      <c r="I20" s="188">
        <f>H18/100*F20</f>
        <v>5210.258780036968</v>
      </c>
      <c r="J20" s="164"/>
      <c r="K20" s="232"/>
      <c r="L20" s="226"/>
      <c r="M20" s="69"/>
      <c r="N20" s="69"/>
      <c r="O20" s="226">
        <f t="shared" si="0"/>
        <v>5210.258780036968</v>
      </c>
      <c r="P20" s="226"/>
      <c r="Q20" s="226"/>
    </row>
    <row r="21" spans="1:17" ht="15.75">
      <c r="A21" s="84"/>
      <c r="B21" s="82"/>
      <c r="C21" s="191">
        <v>20000</v>
      </c>
      <c r="D21" s="233" t="s">
        <v>43</v>
      </c>
      <c r="E21" s="233">
        <v>145.99</v>
      </c>
      <c r="F21" s="127">
        <v>84.32878927911275</v>
      </c>
      <c r="G21" s="441">
        <v>2007</v>
      </c>
      <c r="H21" s="441">
        <v>20000</v>
      </c>
      <c r="I21" s="187">
        <f>H21/100*F21</f>
        <v>16865.75785582255</v>
      </c>
      <c r="J21" s="164"/>
      <c r="K21" s="232"/>
      <c r="L21" s="226"/>
      <c r="M21" s="69"/>
      <c r="N21" s="69"/>
      <c r="O21" s="226">
        <f t="shared" si="0"/>
        <v>16865.75785582255</v>
      </c>
      <c r="P21" s="226"/>
      <c r="Q21" s="226"/>
    </row>
    <row r="22" spans="1:17" ht="15.75">
      <c r="A22" s="84"/>
      <c r="B22" s="82"/>
      <c r="C22" s="191"/>
      <c r="D22" s="233" t="s">
        <v>57</v>
      </c>
      <c r="E22" s="233">
        <v>4.58</v>
      </c>
      <c r="F22" s="127">
        <v>2.645563770794824</v>
      </c>
      <c r="G22" s="439"/>
      <c r="H22" s="439"/>
      <c r="I22" s="188">
        <f>H21/100*F22</f>
        <v>529.1127541589648</v>
      </c>
      <c r="J22" s="164"/>
      <c r="K22" s="232"/>
      <c r="L22" s="226"/>
      <c r="M22" s="69"/>
      <c r="N22" s="69"/>
      <c r="O22" s="226">
        <f t="shared" si="0"/>
        <v>529.1127541589648</v>
      </c>
      <c r="P22" s="226"/>
      <c r="Q22" s="226"/>
    </row>
    <row r="23" spans="1:17" ht="15.75">
      <c r="A23" s="84"/>
      <c r="B23" s="82"/>
      <c r="C23" s="191"/>
      <c r="D23" s="233" t="s">
        <v>44</v>
      </c>
      <c r="E23" s="233">
        <v>22.55</v>
      </c>
      <c r="F23" s="127">
        <v>13.02564695009242</v>
      </c>
      <c r="G23" s="440"/>
      <c r="H23" s="440"/>
      <c r="I23" s="188">
        <f>H21/100*F23</f>
        <v>2605.129390018484</v>
      </c>
      <c r="J23" s="164"/>
      <c r="K23" s="232"/>
      <c r="L23" s="226"/>
      <c r="M23" s="69"/>
      <c r="N23" s="69"/>
      <c r="O23" s="226">
        <f t="shared" si="0"/>
        <v>2605.129390018484</v>
      </c>
      <c r="P23" s="226"/>
      <c r="Q23" s="226"/>
    </row>
    <row r="24" spans="1:17" ht="15.75">
      <c r="A24" s="84"/>
      <c r="B24" s="82"/>
      <c r="C24" s="191">
        <v>20000</v>
      </c>
      <c r="D24" s="233" t="s">
        <v>43</v>
      </c>
      <c r="E24" s="233">
        <v>145.99</v>
      </c>
      <c r="F24" s="127">
        <v>84.32878927911275</v>
      </c>
      <c r="G24" s="441">
        <v>2008</v>
      </c>
      <c r="H24" s="441">
        <v>20000</v>
      </c>
      <c r="I24" s="187">
        <f>H24/100*F24</f>
        <v>16865.75785582255</v>
      </c>
      <c r="J24" s="193"/>
      <c r="K24" s="232"/>
      <c r="L24" s="226"/>
      <c r="M24" s="69"/>
      <c r="N24" s="69"/>
      <c r="O24" s="226">
        <f t="shared" si="0"/>
        <v>16865.75785582255</v>
      </c>
      <c r="P24" s="226"/>
      <c r="Q24" s="226"/>
    </row>
    <row r="25" spans="1:17" ht="15.75">
      <c r="A25" s="84"/>
      <c r="B25" s="82"/>
      <c r="C25" s="191"/>
      <c r="D25" s="233" t="s">
        <v>57</v>
      </c>
      <c r="E25" s="233">
        <v>4.58</v>
      </c>
      <c r="F25" s="127">
        <v>2.645563770794824</v>
      </c>
      <c r="G25" s="439"/>
      <c r="H25" s="439"/>
      <c r="I25" s="188">
        <f>H24/100*F25</f>
        <v>529.1127541589648</v>
      </c>
      <c r="J25" s="193"/>
      <c r="K25" s="232"/>
      <c r="L25" s="226"/>
      <c r="M25" s="69"/>
      <c r="N25" s="69"/>
      <c r="O25" s="226">
        <f t="shared" si="0"/>
        <v>529.1127541589648</v>
      </c>
      <c r="P25" s="226"/>
      <c r="Q25" s="226"/>
    </row>
    <row r="26" spans="1:17" ht="15.75">
      <c r="A26" s="121"/>
      <c r="B26" s="159"/>
      <c r="C26" s="192"/>
      <c r="D26" s="233" t="s">
        <v>44</v>
      </c>
      <c r="E26" s="233">
        <v>22.55</v>
      </c>
      <c r="F26" s="127">
        <v>13.02564695009242</v>
      </c>
      <c r="G26" s="440"/>
      <c r="H26" s="440"/>
      <c r="I26" s="188">
        <f>H24/100*F26</f>
        <v>2605.129390018484</v>
      </c>
      <c r="J26" s="193"/>
      <c r="K26" s="232"/>
      <c r="L26" s="226"/>
      <c r="M26" s="69"/>
      <c r="N26" s="69"/>
      <c r="O26" s="226">
        <f t="shared" si="0"/>
        <v>2605.129390018484</v>
      </c>
      <c r="P26" s="226"/>
      <c r="Q26" s="226"/>
    </row>
    <row r="27" spans="1:17" ht="47.25">
      <c r="A27" s="100" t="s">
        <v>64</v>
      </c>
      <c r="B27" s="80"/>
      <c r="C27" s="216">
        <v>20000</v>
      </c>
      <c r="D27" s="233" t="s">
        <v>43</v>
      </c>
      <c r="E27" s="233">
        <v>145.99</v>
      </c>
      <c r="F27" s="127">
        <v>84.32878927911275</v>
      </c>
      <c r="G27" s="441">
        <v>2009</v>
      </c>
      <c r="H27" s="441">
        <v>20000</v>
      </c>
      <c r="I27" s="187">
        <f>H27/100*F27</f>
        <v>16865.75785582255</v>
      </c>
      <c r="J27" s="164"/>
      <c r="K27" s="232"/>
      <c r="L27" s="226"/>
      <c r="M27" s="69"/>
      <c r="N27" s="76"/>
      <c r="O27" s="226">
        <f t="shared" si="0"/>
        <v>16865.75785582255</v>
      </c>
      <c r="P27" s="226"/>
      <c r="Q27" s="226"/>
    </row>
    <row r="28" spans="1:17" ht="15.75">
      <c r="A28" s="84"/>
      <c r="B28" s="82"/>
      <c r="C28" s="191"/>
      <c r="D28" s="233" t="s">
        <v>57</v>
      </c>
      <c r="E28" s="233">
        <v>4.58</v>
      </c>
      <c r="F28" s="127">
        <v>2.645563770794824</v>
      </c>
      <c r="G28" s="439"/>
      <c r="H28" s="439"/>
      <c r="I28" s="188">
        <f>H27/100*F28</f>
        <v>529.1127541589648</v>
      </c>
      <c r="J28" s="164"/>
      <c r="K28" s="232"/>
      <c r="L28" s="226"/>
      <c r="M28" s="69"/>
      <c r="N28" s="69"/>
      <c r="O28" s="226">
        <f t="shared" si="0"/>
        <v>529.1127541589648</v>
      </c>
      <c r="P28" s="226"/>
      <c r="Q28" s="226"/>
    </row>
    <row r="29" spans="1:17" ht="15.75">
      <c r="A29" s="84"/>
      <c r="B29" s="82"/>
      <c r="C29" s="191"/>
      <c r="D29" s="233" t="s">
        <v>44</v>
      </c>
      <c r="E29" s="233">
        <v>22.55</v>
      </c>
      <c r="F29" s="127">
        <v>13.02564695009242</v>
      </c>
      <c r="G29" s="440"/>
      <c r="H29" s="440"/>
      <c r="I29" s="188">
        <f>H27/100*F29</f>
        <v>2605.129390018484</v>
      </c>
      <c r="J29" s="164"/>
      <c r="K29" s="232"/>
      <c r="L29" s="226"/>
      <c r="M29" s="69"/>
      <c r="N29" s="69"/>
      <c r="O29" s="226">
        <f t="shared" si="0"/>
        <v>2605.129390018484</v>
      </c>
      <c r="P29" s="226"/>
      <c r="Q29" s="226"/>
    </row>
    <row r="30" spans="1:17" ht="15.75">
      <c r="A30" s="84"/>
      <c r="B30" s="82"/>
      <c r="C30" s="191">
        <v>20000</v>
      </c>
      <c r="D30" s="226" t="s">
        <v>43</v>
      </c>
      <c r="E30" s="226">
        <v>145.99</v>
      </c>
      <c r="F30" s="120">
        <v>84.32878927911275</v>
      </c>
      <c r="G30" s="441">
        <v>2010</v>
      </c>
      <c r="H30" s="441">
        <v>20000</v>
      </c>
      <c r="I30" s="187">
        <f>H30/100*F30</f>
        <v>16865.75785582255</v>
      </c>
      <c r="J30" s="156"/>
      <c r="K30" s="232"/>
      <c r="L30" s="226"/>
      <c r="M30" s="69"/>
      <c r="N30" s="492"/>
      <c r="O30" s="226">
        <f t="shared" si="0"/>
        <v>16865.75785582255</v>
      </c>
      <c r="P30" s="226"/>
      <c r="Q30" s="226"/>
    </row>
    <row r="31" spans="1:17" ht="15.75">
      <c r="A31" s="84"/>
      <c r="B31" s="82"/>
      <c r="C31" s="191"/>
      <c r="D31" s="226" t="s">
        <v>57</v>
      </c>
      <c r="E31" s="226">
        <v>4.58</v>
      </c>
      <c r="F31" s="120">
        <v>2.645563770794824</v>
      </c>
      <c r="G31" s="439"/>
      <c r="H31" s="439"/>
      <c r="I31" s="188">
        <f>H30/100*F31</f>
        <v>529.1127541589648</v>
      </c>
      <c r="J31" s="156"/>
      <c r="K31" s="232"/>
      <c r="L31" s="226"/>
      <c r="M31" s="69"/>
      <c r="N31" s="493"/>
      <c r="O31" s="226">
        <f t="shared" si="0"/>
        <v>529.1127541589648</v>
      </c>
      <c r="P31" s="226"/>
      <c r="Q31" s="226"/>
    </row>
    <row r="32" spans="1:17" ht="15.75">
      <c r="A32" s="84"/>
      <c r="B32" s="82"/>
      <c r="C32" s="191"/>
      <c r="D32" s="226" t="s">
        <v>44</v>
      </c>
      <c r="E32" s="226">
        <v>22.55</v>
      </c>
      <c r="F32" s="120">
        <v>13.02564695009242</v>
      </c>
      <c r="G32" s="440"/>
      <c r="H32" s="440"/>
      <c r="I32" s="188">
        <f>H30/100*F32</f>
        <v>2605.129390018484</v>
      </c>
      <c r="J32" s="156"/>
      <c r="K32" s="232"/>
      <c r="L32" s="226"/>
      <c r="M32" s="69"/>
      <c r="N32" s="494"/>
      <c r="O32" s="226">
        <f t="shared" si="0"/>
        <v>2605.129390018484</v>
      </c>
      <c r="P32" s="226"/>
      <c r="Q32" s="226"/>
    </row>
    <row r="33" spans="1:17" ht="15.75">
      <c r="A33" s="84"/>
      <c r="B33" s="82"/>
      <c r="C33" s="191">
        <v>20000</v>
      </c>
      <c r="D33" s="233" t="s">
        <v>43</v>
      </c>
      <c r="E33" s="233">
        <v>145.99</v>
      </c>
      <c r="F33" s="127">
        <v>84.32878927911275</v>
      </c>
      <c r="G33" s="441">
        <v>2011</v>
      </c>
      <c r="H33" s="441">
        <v>20000</v>
      </c>
      <c r="I33" s="187">
        <f>H33/100*F33</f>
        <v>16865.75785582255</v>
      </c>
      <c r="J33" s="164"/>
      <c r="K33" s="232"/>
      <c r="L33" s="226"/>
      <c r="M33" s="69"/>
      <c r="N33" s="69"/>
      <c r="O33" s="226">
        <f t="shared" si="0"/>
        <v>16865.75785582255</v>
      </c>
      <c r="P33" s="226"/>
      <c r="Q33" s="226"/>
    </row>
    <row r="34" spans="1:17" ht="15.75">
      <c r="A34" s="84"/>
      <c r="B34" s="82"/>
      <c r="C34" s="191"/>
      <c r="D34" s="233" t="s">
        <v>57</v>
      </c>
      <c r="E34" s="233">
        <v>4.58</v>
      </c>
      <c r="F34" s="127">
        <v>2.645563770794824</v>
      </c>
      <c r="G34" s="439"/>
      <c r="H34" s="439"/>
      <c r="I34" s="188">
        <f>H33/100*F34</f>
        <v>529.1127541589648</v>
      </c>
      <c r="J34" s="156"/>
      <c r="K34" s="232"/>
      <c r="L34" s="226"/>
      <c r="M34" s="69"/>
      <c r="N34" s="69"/>
      <c r="O34" s="226">
        <f t="shared" si="0"/>
        <v>529.1127541589648</v>
      </c>
      <c r="P34" s="226"/>
      <c r="Q34" s="226"/>
    </row>
    <row r="35" spans="1:17" ht="15.75">
      <c r="A35" s="84"/>
      <c r="B35" s="82"/>
      <c r="C35" s="191"/>
      <c r="D35" s="233" t="s">
        <v>44</v>
      </c>
      <c r="E35" s="233">
        <v>22.55</v>
      </c>
      <c r="F35" s="127">
        <v>13.02564695009242</v>
      </c>
      <c r="G35" s="518"/>
      <c r="H35" s="440"/>
      <c r="I35" s="188">
        <f>H33/100*F35</f>
        <v>2605.129390018484</v>
      </c>
      <c r="J35" s="164"/>
      <c r="K35" s="232"/>
      <c r="L35" s="226"/>
      <c r="M35" s="69"/>
      <c r="N35" s="69"/>
      <c r="O35" s="226">
        <f aca="true" t="shared" si="1" ref="O35:O50">I35-J35</f>
        <v>2605.129390018484</v>
      </c>
      <c r="P35" s="226"/>
      <c r="Q35" s="226"/>
    </row>
    <row r="36" spans="1:17" ht="15.75">
      <c r="A36" s="373"/>
      <c r="B36" s="82"/>
      <c r="C36" s="191">
        <v>20000</v>
      </c>
      <c r="D36" s="233" t="s">
        <v>43</v>
      </c>
      <c r="E36" s="233">
        <v>145.99</v>
      </c>
      <c r="F36" s="127">
        <v>84.32878927911275</v>
      </c>
      <c r="G36" s="441">
        <v>2012</v>
      </c>
      <c r="H36" s="441">
        <v>20000</v>
      </c>
      <c r="I36" s="187">
        <f>H36/100*F36</f>
        <v>16865.75785582255</v>
      </c>
      <c r="J36" s="164"/>
      <c r="K36" s="232"/>
      <c r="L36" s="226"/>
      <c r="M36" s="69"/>
      <c r="N36" s="69"/>
      <c r="O36" s="226">
        <f t="shared" si="1"/>
        <v>16865.75785582255</v>
      </c>
      <c r="P36" s="226"/>
      <c r="Q36" s="226"/>
    </row>
    <row r="37" spans="1:17" ht="15.75">
      <c r="A37" s="373"/>
      <c r="B37" s="82"/>
      <c r="C37" s="191"/>
      <c r="D37" s="233" t="s">
        <v>57</v>
      </c>
      <c r="E37" s="233">
        <v>4.58</v>
      </c>
      <c r="F37" s="127">
        <v>2.645563770794824</v>
      </c>
      <c r="G37" s="439"/>
      <c r="H37" s="439"/>
      <c r="I37" s="188">
        <f>H36/100*F37</f>
        <v>529.1127541589648</v>
      </c>
      <c r="J37" s="156"/>
      <c r="K37" s="232"/>
      <c r="L37" s="226"/>
      <c r="M37" s="69"/>
      <c r="N37" s="69"/>
      <c r="O37" s="226">
        <f t="shared" si="1"/>
        <v>529.1127541589648</v>
      </c>
      <c r="P37" s="226"/>
      <c r="Q37" s="226"/>
    </row>
    <row r="38" spans="1:17" ht="15.75">
      <c r="A38" s="373"/>
      <c r="B38" s="82"/>
      <c r="C38" s="191"/>
      <c r="D38" s="233" t="s">
        <v>44</v>
      </c>
      <c r="E38" s="233">
        <v>22.55</v>
      </c>
      <c r="F38" s="127">
        <v>13.02564695009242</v>
      </c>
      <c r="G38" s="518"/>
      <c r="H38" s="440"/>
      <c r="I38" s="188">
        <f>H36/100*F38</f>
        <v>2605.129390018484</v>
      </c>
      <c r="J38" s="164"/>
      <c r="K38" s="232"/>
      <c r="L38" s="226"/>
      <c r="M38" s="69"/>
      <c r="N38" s="69"/>
      <c r="O38" s="226">
        <f t="shared" si="1"/>
        <v>2605.129390018484</v>
      </c>
      <c r="P38" s="226"/>
      <c r="Q38" s="226"/>
    </row>
    <row r="39" spans="1:17" ht="15.75">
      <c r="A39" s="373"/>
      <c r="B39" s="82"/>
      <c r="C39" s="191">
        <v>20000</v>
      </c>
      <c r="D39" s="233" t="s">
        <v>43</v>
      </c>
      <c r="E39" s="233">
        <v>145.99</v>
      </c>
      <c r="F39" s="127">
        <v>84.32878927911275</v>
      </c>
      <c r="G39" s="441">
        <v>2013</v>
      </c>
      <c r="H39" s="441">
        <v>20000</v>
      </c>
      <c r="I39" s="187">
        <f>H39/100*F39</f>
        <v>16865.75785582255</v>
      </c>
      <c r="J39" s="164"/>
      <c r="K39" s="232"/>
      <c r="L39" s="226"/>
      <c r="M39" s="69"/>
      <c r="N39" s="69"/>
      <c r="O39" s="226">
        <f t="shared" si="1"/>
        <v>16865.75785582255</v>
      </c>
      <c r="P39" s="226"/>
      <c r="Q39" s="226"/>
    </row>
    <row r="40" spans="1:17" ht="15.75">
      <c r="A40" s="373"/>
      <c r="B40" s="82"/>
      <c r="C40" s="191"/>
      <c r="D40" s="233" t="s">
        <v>57</v>
      </c>
      <c r="E40" s="233">
        <v>4.58</v>
      </c>
      <c r="F40" s="127">
        <v>2.645563770794824</v>
      </c>
      <c r="G40" s="439"/>
      <c r="H40" s="439"/>
      <c r="I40" s="188">
        <f>H39/100*F40</f>
        <v>529.1127541589648</v>
      </c>
      <c r="J40" s="156"/>
      <c r="K40" s="232"/>
      <c r="L40" s="226"/>
      <c r="M40" s="69"/>
      <c r="N40" s="69"/>
      <c r="O40" s="226">
        <f t="shared" si="1"/>
        <v>529.1127541589648</v>
      </c>
      <c r="P40" s="226"/>
      <c r="Q40" s="226"/>
    </row>
    <row r="41" spans="1:17" ht="15.75">
      <c r="A41" s="373"/>
      <c r="B41" s="82"/>
      <c r="C41" s="191"/>
      <c r="D41" s="233" t="s">
        <v>44</v>
      </c>
      <c r="E41" s="233">
        <v>22.55</v>
      </c>
      <c r="F41" s="127">
        <v>13.02564695009242</v>
      </c>
      <c r="G41" s="518"/>
      <c r="H41" s="440"/>
      <c r="I41" s="188">
        <f>H39/100*F41</f>
        <v>2605.129390018484</v>
      </c>
      <c r="J41" s="164"/>
      <c r="K41" s="232"/>
      <c r="L41" s="226"/>
      <c r="M41" s="69"/>
      <c r="N41" s="69"/>
      <c r="O41" s="226">
        <f t="shared" si="1"/>
        <v>2605.129390018484</v>
      </c>
      <c r="P41" s="226"/>
      <c r="Q41" s="226"/>
    </row>
    <row r="42" spans="1:17" ht="15.75">
      <c r="A42" s="373"/>
      <c r="B42" s="82"/>
      <c r="C42" s="191">
        <v>20000</v>
      </c>
      <c r="D42" s="233" t="s">
        <v>43</v>
      </c>
      <c r="E42" s="233">
        <v>145.99</v>
      </c>
      <c r="F42" s="127">
        <v>84.32878927911275</v>
      </c>
      <c r="G42" s="441">
        <v>2014</v>
      </c>
      <c r="H42" s="441">
        <v>20000</v>
      </c>
      <c r="I42" s="187">
        <f>H42/100*F42</f>
        <v>16865.75785582255</v>
      </c>
      <c r="J42" s="164"/>
      <c r="K42" s="232"/>
      <c r="L42" s="226"/>
      <c r="M42" s="69"/>
      <c r="N42" s="69"/>
      <c r="O42" s="226">
        <f t="shared" si="1"/>
        <v>16865.75785582255</v>
      </c>
      <c r="P42" s="226"/>
      <c r="Q42" s="226"/>
    </row>
    <row r="43" spans="1:17" ht="15.75">
      <c r="A43" s="373"/>
      <c r="B43" s="82"/>
      <c r="C43" s="191"/>
      <c r="D43" s="233" t="s">
        <v>57</v>
      </c>
      <c r="E43" s="233">
        <v>4.58</v>
      </c>
      <c r="F43" s="127">
        <v>2.645563770794824</v>
      </c>
      <c r="G43" s="439"/>
      <c r="H43" s="439"/>
      <c r="I43" s="188">
        <f>H42/100*F43</f>
        <v>529.1127541589648</v>
      </c>
      <c r="J43" s="156"/>
      <c r="K43" s="232"/>
      <c r="L43" s="226"/>
      <c r="M43" s="69"/>
      <c r="N43" s="69"/>
      <c r="O43" s="226">
        <f t="shared" si="1"/>
        <v>529.1127541589648</v>
      </c>
      <c r="P43" s="226"/>
      <c r="Q43" s="226"/>
    </row>
    <row r="44" spans="1:17" ht="15.75">
      <c r="A44" s="373"/>
      <c r="B44" s="82"/>
      <c r="C44" s="191"/>
      <c r="D44" s="233" t="s">
        <v>44</v>
      </c>
      <c r="E44" s="233">
        <v>22.55</v>
      </c>
      <c r="F44" s="127">
        <v>13.02564695009242</v>
      </c>
      <c r="G44" s="518"/>
      <c r="H44" s="440"/>
      <c r="I44" s="188">
        <f>H42/100*F44</f>
        <v>2605.129390018484</v>
      </c>
      <c r="J44" s="164"/>
      <c r="K44" s="232"/>
      <c r="L44" s="226"/>
      <c r="M44" s="69"/>
      <c r="N44" s="69"/>
      <c r="O44" s="226">
        <f t="shared" si="1"/>
        <v>2605.129390018484</v>
      </c>
      <c r="P44" s="226"/>
      <c r="Q44" s="226"/>
    </row>
    <row r="45" spans="1:17" ht="15.75">
      <c r="A45" s="373"/>
      <c r="B45" s="82"/>
      <c r="C45" s="191">
        <v>20000</v>
      </c>
      <c r="D45" s="233" t="s">
        <v>43</v>
      </c>
      <c r="E45" s="233">
        <v>145.99</v>
      </c>
      <c r="F45" s="127">
        <v>84.32878927911275</v>
      </c>
      <c r="G45" s="441">
        <v>2015</v>
      </c>
      <c r="H45" s="441">
        <v>20000</v>
      </c>
      <c r="I45" s="187">
        <f>H45/100*F45</f>
        <v>16865.75785582255</v>
      </c>
      <c r="J45" s="164"/>
      <c r="K45" s="232"/>
      <c r="L45" s="226"/>
      <c r="M45" s="69"/>
      <c r="N45" s="69"/>
      <c r="O45" s="226">
        <f t="shared" si="1"/>
        <v>16865.75785582255</v>
      </c>
      <c r="P45" s="226"/>
      <c r="Q45" s="226"/>
    </row>
    <row r="46" spans="1:17" ht="15.75">
      <c r="A46" s="373"/>
      <c r="B46" s="82"/>
      <c r="C46" s="191"/>
      <c r="D46" s="233" t="s">
        <v>57</v>
      </c>
      <c r="E46" s="233">
        <v>4.58</v>
      </c>
      <c r="F46" s="127">
        <v>2.645563770794824</v>
      </c>
      <c r="G46" s="439"/>
      <c r="H46" s="439"/>
      <c r="I46" s="188">
        <f>H45/100*F46</f>
        <v>529.1127541589648</v>
      </c>
      <c r="J46" s="156"/>
      <c r="K46" s="232"/>
      <c r="L46" s="226"/>
      <c r="M46" s="69"/>
      <c r="N46" s="69"/>
      <c r="O46" s="226">
        <f t="shared" si="1"/>
        <v>529.1127541589648</v>
      </c>
      <c r="P46" s="226"/>
      <c r="Q46" s="226"/>
    </row>
    <row r="47" spans="1:17" ht="15.75">
      <c r="A47" s="373"/>
      <c r="B47" s="82"/>
      <c r="C47" s="191"/>
      <c r="D47" s="233" t="s">
        <v>44</v>
      </c>
      <c r="E47" s="233">
        <v>22.55</v>
      </c>
      <c r="F47" s="127">
        <v>13.02564695009242</v>
      </c>
      <c r="G47" s="518"/>
      <c r="H47" s="440"/>
      <c r="I47" s="188">
        <f>H45/100*F47</f>
        <v>2605.129390018484</v>
      </c>
      <c r="J47" s="164"/>
      <c r="K47" s="232"/>
      <c r="L47" s="226"/>
      <c r="M47" s="69"/>
      <c r="N47" s="69"/>
      <c r="O47" s="226">
        <f t="shared" si="1"/>
        <v>2605.129390018484</v>
      </c>
      <c r="P47" s="226"/>
      <c r="Q47" s="226"/>
    </row>
    <row r="48" spans="1:17" ht="15.75">
      <c r="A48" s="373"/>
      <c r="B48" s="82"/>
      <c r="C48" s="191">
        <v>20000</v>
      </c>
      <c r="D48" s="233" t="s">
        <v>43</v>
      </c>
      <c r="E48" s="233">
        <v>145.99</v>
      </c>
      <c r="F48" s="127">
        <v>84.32878927911275</v>
      </c>
      <c r="G48" s="441">
        <v>2016</v>
      </c>
      <c r="H48" s="441">
        <v>20000</v>
      </c>
      <c r="I48" s="187">
        <f>H48/100*F48</f>
        <v>16865.75785582255</v>
      </c>
      <c r="J48" s="164"/>
      <c r="K48" s="232"/>
      <c r="L48" s="226"/>
      <c r="M48" s="69"/>
      <c r="N48" s="69"/>
      <c r="O48" s="226">
        <f t="shared" si="1"/>
        <v>16865.75785582255</v>
      </c>
      <c r="P48" s="226"/>
      <c r="Q48" s="226"/>
    </row>
    <row r="49" spans="1:17" ht="15.75">
      <c r="A49" s="373"/>
      <c r="B49" s="82"/>
      <c r="C49" s="191"/>
      <c r="D49" s="233" t="s">
        <v>57</v>
      </c>
      <c r="E49" s="233">
        <v>4.58</v>
      </c>
      <c r="F49" s="127">
        <v>2.645563770794824</v>
      </c>
      <c r="G49" s="439"/>
      <c r="H49" s="439"/>
      <c r="I49" s="188">
        <f>H48/100*F49</f>
        <v>529.1127541589648</v>
      </c>
      <c r="J49" s="156"/>
      <c r="K49" s="232"/>
      <c r="L49" s="226"/>
      <c r="M49" s="69"/>
      <c r="N49" s="69"/>
      <c r="O49" s="226">
        <f t="shared" si="1"/>
        <v>529.1127541589648</v>
      </c>
      <c r="P49" s="226"/>
      <c r="Q49" s="226"/>
    </row>
    <row r="50" spans="1:17" ht="15.75">
      <c r="A50" s="373"/>
      <c r="B50" s="82"/>
      <c r="C50" s="191"/>
      <c r="D50" s="233" t="s">
        <v>44</v>
      </c>
      <c r="E50" s="233">
        <v>22.55</v>
      </c>
      <c r="F50" s="127">
        <v>13.02564695009242</v>
      </c>
      <c r="G50" s="518"/>
      <c r="H50" s="440"/>
      <c r="I50" s="188">
        <f>H48/100*F50</f>
        <v>2605.129390018484</v>
      </c>
      <c r="J50" s="164"/>
      <c r="K50" s="232"/>
      <c r="L50" s="226"/>
      <c r="M50" s="69"/>
      <c r="N50" s="69"/>
      <c r="O50" s="226">
        <f t="shared" si="1"/>
        <v>2605.129390018484</v>
      </c>
      <c r="P50" s="226"/>
      <c r="Q50" s="226"/>
    </row>
    <row r="51" spans="1:17" ht="15.75">
      <c r="A51" s="382"/>
      <c r="B51" s="82"/>
      <c r="C51" s="191">
        <v>20000</v>
      </c>
      <c r="D51" s="233" t="s">
        <v>43</v>
      </c>
      <c r="E51" s="233">
        <v>145.99</v>
      </c>
      <c r="F51" s="127">
        <v>84.32878927911275</v>
      </c>
      <c r="G51" s="441">
        <v>2017</v>
      </c>
      <c r="H51" s="441">
        <v>20000</v>
      </c>
      <c r="I51" s="187">
        <f>H51/100*F51</f>
        <v>16865.75785582255</v>
      </c>
      <c r="J51" s="164"/>
      <c r="K51" s="232"/>
      <c r="L51" s="226"/>
      <c r="M51" s="69"/>
      <c r="N51" s="69"/>
      <c r="O51" s="226">
        <f aca="true" t="shared" si="2" ref="O51:O56">I51-J51</f>
        <v>16865.75785582255</v>
      </c>
      <c r="P51" s="226"/>
      <c r="Q51" s="226"/>
    </row>
    <row r="52" spans="1:17" ht="15.75">
      <c r="A52" s="382"/>
      <c r="B52" s="82"/>
      <c r="C52" s="191"/>
      <c r="D52" s="233" t="s">
        <v>57</v>
      </c>
      <c r="E52" s="233">
        <v>4.58</v>
      </c>
      <c r="F52" s="127">
        <v>2.645563770794824</v>
      </c>
      <c r="G52" s="439"/>
      <c r="H52" s="439"/>
      <c r="I52" s="188">
        <f>H51/100*F52</f>
        <v>529.1127541589648</v>
      </c>
      <c r="J52" s="156"/>
      <c r="K52" s="232"/>
      <c r="L52" s="226"/>
      <c r="M52" s="69"/>
      <c r="N52" s="69"/>
      <c r="O52" s="226">
        <f t="shared" si="2"/>
        <v>529.1127541589648</v>
      </c>
      <c r="P52" s="226"/>
      <c r="Q52" s="226"/>
    </row>
    <row r="53" spans="1:17" ht="15.75">
      <c r="A53" s="382"/>
      <c r="B53" s="82"/>
      <c r="C53" s="191"/>
      <c r="D53" s="233" t="s">
        <v>44</v>
      </c>
      <c r="E53" s="233">
        <v>22.55</v>
      </c>
      <c r="F53" s="127">
        <v>13.02564695009242</v>
      </c>
      <c r="G53" s="518"/>
      <c r="H53" s="440"/>
      <c r="I53" s="188">
        <f>H51/100*F53</f>
        <v>2605.129390018484</v>
      </c>
      <c r="J53" s="164"/>
      <c r="K53" s="232"/>
      <c r="L53" s="226"/>
      <c r="M53" s="69"/>
      <c r="N53" s="69"/>
      <c r="O53" s="226">
        <f t="shared" si="2"/>
        <v>2605.129390018484</v>
      </c>
      <c r="P53" s="226"/>
      <c r="Q53" s="226"/>
    </row>
    <row r="54" spans="1:17" ht="15.75">
      <c r="A54" s="382"/>
      <c r="B54" s="82"/>
      <c r="C54" s="191">
        <v>20000</v>
      </c>
      <c r="D54" s="233" t="s">
        <v>43</v>
      </c>
      <c r="E54" s="233">
        <v>145.99</v>
      </c>
      <c r="F54" s="127">
        <v>84.32878927911275</v>
      </c>
      <c r="G54" s="441">
        <v>2018</v>
      </c>
      <c r="H54" s="441">
        <v>20000</v>
      </c>
      <c r="I54" s="187">
        <f>H54/100*F54</f>
        <v>16865.75785582255</v>
      </c>
      <c r="J54" s="164"/>
      <c r="K54" s="232"/>
      <c r="L54" s="226"/>
      <c r="M54" s="69"/>
      <c r="N54" s="69"/>
      <c r="O54" s="226">
        <f t="shared" si="2"/>
        <v>16865.75785582255</v>
      </c>
      <c r="P54" s="226"/>
      <c r="Q54" s="226"/>
    </row>
    <row r="55" spans="1:17" ht="15.75">
      <c r="A55" s="382"/>
      <c r="B55" s="82"/>
      <c r="C55" s="191"/>
      <c r="D55" s="233" t="s">
        <v>57</v>
      </c>
      <c r="E55" s="233">
        <v>4.58</v>
      </c>
      <c r="F55" s="127">
        <v>2.645563770794824</v>
      </c>
      <c r="G55" s="439"/>
      <c r="H55" s="439"/>
      <c r="I55" s="188">
        <f>H54/100*F55</f>
        <v>529.1127541589648</v>
      </c>
      <c r="J55" s="156"/>
      <c r="K55" s="232"/>
      <c r="L55" s="226"/>
      <c r="M55" s="69"/>
      <c r="N55" s="69"/>
      <c r="O55" s="226">
        <f t="shared" si="2"/>
        <v>529.1127541589648</v>
      </c>
      <c r="P55" s="226"/>
      <c r="Q55" s="226"/>
    </row>
    <row r="56" spans="1:17" ht="15.75">
      <c r="A56" s="382"/>
      <c r="B56" s="82"/>
      <c r="C56" s="191"/>
      <c r="D56" s="233" t="s">
        <v>44</v>
      </c>
      <c r="E56" s="233">
        <v>22.55</v>
      </c>
      <c r="F56" s="127">
        <v>13.02564695009242</v>
      </c>
      <c r="G56" s="518"/>
      <c r="H56" s="440"/>
      <c r="I56" s="188">
        <f>H54/100*F56</f>
        <v>2605.129390018484</v>
      </c>
      <c r="J56" s="164"/>
      <c r="K56" s="232"/>
      <c r="L56" s="226"/>
      <c r="M56" s="69"/>
      <c r="N56" s="69"/>
      <c r="O56" s="226">
        <f t="shared" si="2"/>
        <v>2605.129390018484</v>
      </c>
      <c r="P56" s="226"/>
      <c r="Q56" s="226"/>
    </row>
    <row r="57" spans="1:17" ht="15.75">
      <c r="A57" s="385"/>
      <c r="B57" s="82"/>
      <c r="C57" s="191">
        <v>20000</v>
      </c>
      <c r="D57" s="233" t="s">
        <v>43</v>
      </c>
      <c r="E57" s="233">
        <v>145.99</v>
      </c>
      <c r="F57" s="127">
        <v>84.32878927911275</v>
      </c>
      <c r="G57" s="441">
        <v>2019</v>
      </c>
      <c r="H57" s="441">
        <v>20000</v>
      </c>
      <c r="I57" s="187">
        <f>H57/100*F57</f>
        <v>16865.75785582255</v>
      </c>
      <c r="J57" s="164"/>
      <c r="K57" s="232"/>
      <c r="L57" s="226"/>
      <c r="M57" s="69"/>
      <c r="N57" s="69"/>
      <c r="O57" s="226">
        <f>I57-J57</f>
        <v>16865.75785582255</v>
      </c>
      <c r="P57" s="226"/>
      <c r="Q57" s="226"/>
    </row>
    <row r="58" spans="1:17" ht="15.75">
      <c r="A58" s="385"/>
      <c r="B58" s="82"/>
      <c r="C58" s="191"/>
      <c r="D58" s="233" t="s">
        <v>57</v>
      </c>
      <c r="E58" s="233">
        <v>4.58</v>
      </c>
      <c r="F58" s="127">
        <v>2.645563770794824</v>
      </c>
      <c r="G58" s="439"/>
      <c r="H58" s="439"/>
      <c r="I58" s="188">
        <f>H57/100*F58</f>
        <v>529.1127541589648</v>
      </c>
      <c r="J58" s="156"/>
      <c r="K58" s="232"/>
      <c r="L58" s="226"/>
      <c r="M58" s="69"/>
      <c r="N58" s="69"/>
      <c r="O58" s="226">
        <f>I58-J58</f>
        <v>529.1127541589648</v>
      </c>
      <c r="P58" s="226"/>
      <c r="Q58" s="226"/>
    </row>
    <row r="59" spans="1:17" ht="15.75">
      <c r="A59" s="385"/>
      <c r="B59" s="82"/>
      <c r="C59" s="191"/>
      <c r="D59" s="233" t="s">
        <v>44</v>
      </c>
      <c r="E59" s="233">
        <v>22.55</v>
      </c>
      <c r="F59" s="127">
        <v>13.02564695009242</v>
      </c>
      <c r="G59" s="518"/>
      <c r="H59" s="440"/>
      <c r="I59" s="188">
        <f>H57/100*F59</f>
        <v>2605.129390018484</v>
      </c>
      <c r="J59" s="164"/>
      <c r="K59" s="232"/>
      <c r="L59" s="226"/>
      <c r="M59" s="69"/>
      <c r="N59" s="69"/>
      <c r="O59" s="226">
        <f>I59-J59</f>
        <v>2605.129390018484</v>
      </c>
      <c r="P59" s="226"/>
      <c r="Q59" s="226"/>
    </row>
    <row r="60" spans="1:17" ht="15.75">
      <c r="A60" s="444" t="s">
        <v>28</v>
      </c>
      <c r="B60" s="445"/>
      <c r="C60" s="445"/>
      <c r="D60" s="445"/>
      <c r="E60" s="445"/>
      <c r="F60" s="445"/>
      <c r="G60" s="446"/>
      <c r="H60" s="116">
        <f>SUM(H8:H56)</f>
        <v>469608</v>
      </c>
      <c r="I60" s="116">
        <f>SUM(I8:I59)</f>
        <v>489608</v>
      </c>
      <c r="J60" s="168">
        <f>SUM(J15:J35)</f>
        <v>0</v>
      </c>
      <c r="K60" s="167"/>
      <c r="L60" s="116"/>
      <c r="M60" s="118"/>
      <c r="N60" s="118"/>
      <c r="O60" s="116">
        <f>SUM(O9:O59)</f>
        <v>489608</v>
      </c>
      <c r="P60" s="116"/>
      <c r="Q60" s="110"/>
    </row>
    <row r="61" ht="15.75" thickBot="1">
      <c r="L61" s="43"/>
    </row>
    <row r="62" spans="4:12" ht="15">
      <c r="D62" s="398" t="s">
        <v>78</v>
      </c>
      <c r="E62" s="394" t="s">
        <v>75</v>
      </c>
      <c r="F62" s="394"/>
      <c r="G62" s="400"/>
      <c r="H62" s="400"/>
      <c r="I62" s="402" t="s">
        <v>76</v>
      </c>
      <c r="J62" s="404" t="s">
        <v>77</v>
      </c>
      <c r="K62" s="394" t="s">
        <v>79</v>
      </c>
      <c r="L62" s="396" t="s">
        <v>80</v>
      </c>
    </row>
    <row r="63" spans="4:12" ht="15.75" thickBot="1">
      <c r="D63" s="469"/>
      <c r="E63" s="220" t="s">
        <v>81</v>
      </c>
      <c r="F63" s="220" t="s">
        <v>18</v>
      </c>
      <c r="G63" s="447"/>
      <c r="H63" s="447"/>
      <c r="I63" s="448"/>
      <c r="J63" s="449"/>
      <c r="K63" s="507"/>
      <c r="L63" s="453"/>
    </row>
    <row r="64" spans="4:12" ht="15.75">
      <c r="D64" s="110" t="s">
        <v>43</v>
      </c>
      <c r="E64" s="110">
        <v>145.99</v>
      </c>
      <c r="F64" s="132">
        <v>84.32878927911275</v>
      </c>
      <c r="G64" s="222"/>
      <c r="H64" s="222"/>
      <c r="I64" s="106">
        <f>SUM(I33,I30,I27,I24,I21,I18,I15,I12,I9,I36,I39,I42,I45,I48,I51,I54,I57)</f>
        <v>412880.4986136785</v>
      </c>
      <c r="J64" s="106">
        <v>0</v>
      </c>
      <c r="K64" s="222"/>
      <c r="L64" s="189">
        <f>I64-J64</f>
        <v>412880.4986136785</v>
      </c>
    </row>
    <row r="65" spans="4:12" ht="15.75">
      <c r="D65" s="110" t="s">
        <v>57</v>
      </c>
      <c r="E65" s="110">
        <v>4.58</v>
      </c>
      <c r="F65" s="132">
        <v>2.645563770794824</v>
      </c>
      <c r="G65" s="222"/>
      <c r="H65" s="222"/>
      <c r="I65" s="106">
        <f>SUM(I34,I31,I28,I25,I22,I19,I16,I13,I10,I37,I40,I43,I46,I49,I52,I55,I58)</f>
        <v>12952.891866913124</v>
      </c>
      <c r="J65" s="106">
        <f>SUM(J34,J31,J28,J25,J22,J19,J16,J13,J10)</f>
        <v>0</v>
      </c>
      <c r="K65" s="222"/>
      <c r="L65" s="189">
        <f>I65-J65</f>
        <v>12952.891866913124</v>
      </c>
    </row>
    <row r="66" spans="4:14" ht="15.75">
      <c r="D66" s="110" t="s">
        <v>44</v>
      </c>
      <c r="E66" s="110">
        <v>22.55</v>
      </c>
      <c r="F66" s="132">
        <v>13.02564695009242</v>
      </c>
      <c r="G66" s="222"/>
      <c r="H66" s="222"/>
      <c r="I66" s="106">
        <f>SUM(I35,I32,I29,I26,I23,I20,I17,I14,I11,I38,I41,I44,I47,I50,I53,I56,I59)</f>
        <v>63774.60951940849</v>
      </c>
      <c r="J66" s="106">
        <f>SUM(J35,J32,J29,J26,J23,J20,J17,J14,J11)</f>
        <v>0</v>
      </c>
      <c r="K66" s="222"/>
      <c r="L66" s="189">
        <f>I66-J66</f>
        <v>63774.60951940849</v>
      </c>
      <c r="N66" s="43"/>
    </row>
    <row r="67" spans="9:12" ht="15">
      <c r="I67" s="186"/>
      <c r="L67" s="186"/>
    </row>
    <row r="68" spans="1:10" ht="15.75">
      <c r="A68" t="s">
        <v>69</v>
      </c>
      <c r="J68" s="207">
        <v>50000</v>
      </c>
    </row>
    <row r="69" ht="15">
      <c r="M69" s="38"/>
    </row>
    <row r="70" spans="4:12" ht="15.75">
      <c r="D70" s="110" t="s">
        <v>27</v>
      </c>
      <c r="E70" s="110"/>
      <c r="F70" s="132"/>
      <c r="G70" s="222"/>
      <c r="H70" s="222"/>
      <c r="I70" s="106">
        <f>SUM(I64:I66)</f>
        <v>489608.0000000001</v>
      </c>
      <c r="J70" s="106">
        <f>SUM(J68,J64,J65)</f>
        <v>50000</v>
      </c>
      <c r="K70" s="222"/>
      <c r="L70" s="189">
        <f>I70-J70</f>
        <v>439608.0000000001</v>
      </c>
    </row>
  </sheetData>
  <sheetProtection/>
  <mergeCells count="62">
    <mergeCell ref="G51:G53"/>
    <mergeCell ref="H51:H53"/>
    <mergeCell ref="G54:G56"/>
    <mergeCell ref="H54:H56"/>
    <mergeCell ref="I62:I63"/>
    <mergeCell ref="N30:N32"/>
    <mergeCell ref="G33:G35"/>
    <mergeCell ref="H33:H35"/>
    <mergeCell ref="J62:J63"/>
    <mergeCell ref="K62:K63"/>
    <mergeCell ref="L62:L63"/>
    <mergeCell ref="A60:G60"/>
    <mergeCell ref="D62:D63"/>
    <mergeCell ref="E62:F62"/>
    <mergeCell ref="G62:G63"/>
    <mergeCell ref="G24:G26"/>
    <mergeCell ref="H24:H26"/>
    <mergeCell ref="G27:G29"/>
    <mergeCell ref="H27:H29"/>
    <mergeCell ref="G30:G32"/>
    <mergeCell ref="H30:H32"/>
    <mergeCell ref="H62:H63"/>
    <mergeCell ref="G36:G38"/>
    <mergeCell ref="H36:H38"/>
    <mergeCell ref="G15:G17"/>
    <mergeCell ref="H15:H17"/>
    <mergeCell ref="G18:G20"/>
    <mergeCell ref="H18:H20"/>
    <mergeCell ref="G21:G23"/>
    <mergeCell ref="H21:H23"/>
    <mergeCell ref="G12:G14"/>
    <mergeCell ref="H12:H14"/>
    <mergeCell ref="K5:K6"/>
    <mergeCell ref="L5:L6"/>
    <mergeCell ref="M5:M6"/>
    <mergeCell ref="N5:N6"/>
    <mergeCell ref="E7:F7"/>
    <mergeCell ref="G9:G11"/>
    <mergeCell ref="H9:H11"/>
    <mergeCell ref="I5:I6"/>
    <mergeCell ref="J5:J6"/>
    <mergeCell ref="O5:O6"/>
    <mergeCell ref="A1:Q2"/>
    <mergeCell ref="A4:A6"/>
    <mergeCell ref="B4:B6"/>
    <mergeCell ref="C4:C6"/>
    <mergeCell ref="D4:D6"/>
    <mergeCell ref="E4:F5"/>
    <mergeCell ref="G4:Q4"/>
    <mergeCell ref="G5:H5"/>
    <mergeCell ref="Q5:Q6"/>
    <mergeCell ref="P5:P6"/>
    <mergeCell ref="G57:G59"/>
    <mergeCell ref="H57:H59"/>
    <mergeCell ref="G48:G50"/>
    <mergeCell ref="H48:H50"/>
    <mergeCell ref="G39:G41"/>
    <mergeCell ref="H39:H41"/>
    <mergeCell ref="G42:G44"/>
    <mergeCell ref="H42:H44"/>
    <mergeCell ref="G45:G47"/>
    <mergeCell ref="H45:H47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SheetLayoutView="80" zoomScalePageLayoutView="0" workbookViewId="0" topLeftCell="A1">
      <selection activeCell="I66" sqref="I66"/>
    </sheetView>
  </sheetViews>
  <sheetFormatPr defaultColWidth="9.140625" defaultRowHeight="15"/>
  <cols>
    <col min="1" max="1" width="8.28125" style="0" customWidth="1"/>
    <col min="2" max="2" width="46.28125" style="0" bestFit="1" customWidth="1"/>
    <col min="3" max="3" width="12.00390625" style="0" bestFit="1" customWidth="1"/>
    <col min="4" max="4" width="12.57421875" style="351" bestFit="1" customWidth="1"/>
    <col min="5" max="5" width="12.00390625" style="0" hidden="1" customWidth="1"/>
    <col min="6" max="6" width="17.28125" style="0" customWidth="1"/>
    <col min="7" max="7" width="12.140625" style="0" hidden="1" customWidth="1"/>
    <col min="8" max="8" width="12.421875" style="0" hidden="1" customWidth="1"/>
    <col min="9" max="9" width="21.421875" style="228" customWidth="1"/>
    <col min="10" max="10" width="13.421875" style="306" customWidth="1"/>
    <col min="11" max="11" width="12.28125" style="0" customWidth="1"/>
    <col min="12" max="12" width="13.28125" style="0" customWidth="1"/>
  </cols>
  <sheetData>
    <row r="1" ht="15.75">
      <c r="A1" s="209" t="s">
        <v>71</v>
      </c>
    </row>
    <row r="2" ht="15.75" thickBot="1">
      <c r="A2" s="109" t="s">
        <v>115</v>
      </c>
    </row>
    <row r="3" spans="1:12" ht="29.25" customHeight="1">
      <c r="A3" s="398" t="s">
        <v>70</v>
      </c>
      <c r="B3" s="400" t="s">
        <v>83</v>
      </c>
      <c r="C3" s="529" t="s">
        <v>89</v>
      </c>
      <c r="D3" s="531" t="s">
        <v>90</v>
      </c>
      <c r="E3" s="533" t="s">
        <v>88</v>
      </c>
      <c r="F3" s="400" t="s">
        <v>78</v>
      </c>
      <c r="G3" s="394" t="s">
        <v>75</v>
      </c>
      <c r="H3" s="394"/>
      <c r="I3" s="402" t="s">
        <v>85</v>
      </c>
      <c r="J3" s="404" t="s">
        <v>77</v>
      </c>
      <c r="K3" s="394" t="s">
        <v>79</v>
      </c>
      <c r="L3" s="396" t="s">
        <v>80</v>
      </c>
    </row>
    <row r="4" spans="1:12" ht="15.75" thickBot="1">
      <c r="A4" s="469"/>
      <c r="B4" s="447"/>
      <c r="C4" s="530"/>
      <c r="D4" s="532"/>
      <c r="E4" s="534"/>
      <c r="F4" s="447"/>
      <c r="G4" s="220" t="s">
        <v>81</v>
      </c>
      <c r="H4" s="220" t="s">
        <v>18</v>
      </c>
      <c r="I4" s="448"/>
      <c r="J4" s="449"/>
      <c r="K4" s="507"/>
      <c r="L4" s="453"/>
    </row>
    <row r="5" spans="1:12" ht="15">
      <c r="A5" s="519">
        <v>1</v>
      </c>
      <c r="B5" s="521" t="s">
        <v>25</v>
      </c>
      <c r="C5" s="535" t="s">
        <v>26</v>
      </c>
      <c r="D5" s="538" t="s">
        <v>95</v>
      </c>
      <c r="E5" s="539">
        <v>30000</v>
      </c>
      <c r="F5" s="322" t="s">
        <v>22</v>
      </c>
      <c r="G5" s="322">
        <v>606.6</v>
      </c>
      <c r="H5" s="323">
        <v>24.33</v>
      </c>
      <c r="I5" s="324">
        <v>31801.5189</v>
      </c>
      <c r="J5" s="324">
        <v>0</v>
      </c>
      <c r="K5" s="324">
        <v>28882</v>
      </c>
      <c r="L5" s="370">
        <f>I5-J5-K5</f>
        <v>2919.518899999999</v>
      </c>
    </row>
    <row r="6" spans="1:12" ht="15">
      <c r="A6" s="520"/>
      <c r="B6" s="522"/>
      <c r="C6" s="536"/>
      <c r="D6" s="524"/>
      <c r="E6" s="524"/>
      <c r="F6" s="227" t="s">
        <v>24</v>
      </c>
      <c r="G6" s="227">
        <v>1886.5300000000002</v>
      </c>
      <c r="H6" s="242">
        <v>75.67</v>
      </c>
      <c r="I6" s="237">
        <v>98909.4811</v>
      </c>
      <c r="J6" s="237">
        <v>0</v>
      </c>
      <c r="K6" s="237"/>
      <c r="L6" s="370">
        <f>I6-J6-K6</f>
        <v>98909.4811</v>
      </c>
    </row>
    <row r="7" spans="1:12" ht="15">
      <c r="A7" s="520"/>
      <c r="B7" s="522"/>
      <c r="C7" s="537"/>
      <c r="D7" s="525"/>
      <c r="E7" s="525"/>
      <c r="F7" s="326"/>
      <c r="G7" s="326" t="s">
        <v>28</v>
      </c>
      <c r="H7" s="327"/>
      <c r="I7" s="328">
        <f>SUM(I5:I6)</f>
        <v>130711</v>
      </c>
      <c r="J7" s="328">
        <v>0</v>
      </c>
      <c r="K7" s="328">
        <f>SUM(K5:K6)</f>
        <v>28882</v>
      </c>
      <c r="L7" s="329">
        <f>SUM(L5:L6)</f>
        <v>101829</v>
      </c>
    </row>
    <row r="8" spans="1:12" ht="15">
      <c r="A8" s="520">
        <v>2</v>
      </c>
      <c r="B8" s="522" t="s">
        <v>29</v>
      </c>
      <c r="C8" s="540">
        <v>38838</v>
      </c>
      <c r="D8" s="540">
        <v>43628</v>
      </c>
      <c r="E8" s="523">
        <v>30000</v>
      </c>
      <c r="F8" s="227" t="s">
        <v>30</v>
      </c>
      <c r="G8" s="227">
        <v>460.65</v>
      </c>
      <c r="H8" s="242">
        <v>36.96941486160044</v>
      </c>
      <c r="I8" s="237">
        <v>129778.54301260802</v>
      </c>
      <c r="J8" s="237">
        <v>0</v>
      </c>
      <c r="K8" s="237"/>
      <c r="L8" s="325">
        <f aca="true" t="shared" si="0" ref="L8:L13">I8-J8-K8</f>
        <v>129778.54301260802</v>
      </c>
    </row>
    <row r="9" spans="1:12" ht="15">
      <c r="A9" s="520"/>
      <c r="B9" s="522"/>
      <c r="C9" s="524"/>
      <c r="D9" s="524"/>
      <c r="E9" s="524"/>
      <c r="F9" s="227" t="s">
        <v>31</v>
      </c>
      <c r="G9" s="227">
        <v>23.67</v>
      </c>
      <c r="H9" s="242">
        <v>1.8996332351548522</v>
      </c>
      <c r="I9" s="237">
        <v>6668.529497684647</v>
      </c>
      <c r="J9" s="237"/>
      <c r="K9" s="237"/>
      <c r="L9" s="325">
        <f t="shared" si="0"/>
        <v>6668.529497684647</v>
      </c>
    </row>
    <row r="10" spans="1:12" ht="15">
      <c r="A10" s="520"/>
      <c r="B10" s="522"/>
      <c r="C10" s="524"/>
      <c r="D10" s="524"/>
      <c r="E10" s="524"/>
      <c r="F10" s="227" t="s">
        <v>32</v>
      </c>
      <c r="G10" s="227">
        <v>115.68</v>
      </c>
      <c r="H10" s="242">
        <v>9.283885620731445</v>
      </c>
      <c r="I10" s="237">
        <v>32590.43059958428</v>
      </c>
      <c r="J10" s="237"/>
      <c r="K10" s="237"/>
      <c r="L10" s="325">
        <f t="shared" si="0"/>
        <v>32590.43059958428</v>
      </c>
    </row>
    <row r="11" spans="1:12" ht="15">
      <c r="A11" s="520"/>
      <c r="B11" s="522"/>
      <c r="C11" s="524"/>
      <c r="D11" s="524"/>
      <c r="E11" s="524"/>
      <c r="F11" s="227" t="s">
        <v>33</v>
      </c>
      <c r="G11" s="227">
        <v>115.31</v>
      </c>
      <c r="H11" s="242">
        <v>9.254191311605659</v>
      </c>
      <c r="I11" s="237">
        <v>32486.190805999857</v>
      </c>
      <c r="J11" s="237"/>
      <c r="K11" s="237"/>
      <c r="L11" s="325">
        <f t="shared" si="0"/>
        <v>32486.190805999857</v>
      </c>
    </row>
    <row r="12" spans="1:12" ht="15">
      <c r="A12" s="520"/>
      <c r="B12" s="522"/>
      <c r="C12" s="524"/>
      <c r="D12" s="524"/>
      <c r="E12" s="524"/>
      <c r="F12" s="227" t="s">
        <v>34</v>
      </c>
      <c r="G12" s="227">
        <v>530.72</v>
      </c>
      <c r="H12" s="242">
        <v>42.59287497090761</v>
      </c>
      <c r="I12" s="237">
        <v>149519.3060841232</v>
      </c>
      <c r="J12" s="237"/>
      <c r="K12" s="237"/>
      <c r="L12" s="325">
        <f t="shared" si="0"/>
        <v>149519.3060841232</v>
      </c>
    </row>
    <row r="13" spans="1:12" ht="57">
      <c r="A13" s="520"/>
      <c r="B13" s="522"/>
      <c r="C13" s="524"/>
      <c r="D13" s="524"/>
      <c r="E13" s="524"/>
      <c r="F13" s="388" t="s">
        <v>69</v>
      </c>
      <c r="G13" s="227"/>
      <c r="H13" s="242"/>
      <c r="I13" s="237"/>
      <c r="J13" s="389">
        <v>40000</v>
      </c>
      <c r="K13" s="237"/>
      <c r="L13" s="325">
        <f t="shared" si="0"/>
        <v>-40000</v>
      </c>
    </row>
    <row r="14" spans="1:12" ht="15">
      <c r="A14" s="520"/>
      <c r="B14" s="522"/>
      <c r="C14" s="525"/>
      <c r="D14" s="525"/>
      <c r="E14" s="525"/>
      <c r="F14" s="326"/>
      <c r="G14" s="326" t="s">
        <v>28</v>
      </c>
      <c r="H14" s="327"/>
      <c r="I14" s="328">
        <f>SUM(I8:I13)</f>
        <v>351043</v>
      </c>
      <c r="J14" s="328">
        <v>40000</v>
      </c>
      <c r="K14" s="328">
        <f>SUM(K8:K13)</f>
        <v>0</v>
      </c>
      <c r="L14" s="329">
        <f>SUM(L8:L13)</f>
        <v>311043</v>
      </c>
    </row>
    <row r="15" spans="1:12" ht="15.75" customHeight="1">
      <c r="A15" s="520">
        <v>3</v>
      </c>
      <c r="B15" s="526" t="s">
        <v>36</v>
      </c>
      <c r="C15" s="541" t="s">
        <v>93</v>
      </c>
      <c r="D15" s="541" t="s">
        <v>94</v>
      </c>
      <c r="E15" s="458">
        <v>20000</v>
      </c>
      <c r="F15" s="330" t="s">
        <v>35</v>
      </c>
      <c r="G15" s="331">
        <v>357.19</v>
      </c>
      <c r="H15" s="332">
        <v>100</v>
      </c>
      <c r="I15" s="333">
        <v>180000</v>
      </c>
      <c r="J15" s="333">
        <v>0</v>
      </c>
      <c r="K15" s="333"/>
      <c r="L15" s="325">
        <v>180000</v>
      </c>
    </row>
    <row r="16" spans="1:12" ht="15.75" customHeight="1" hidden="1">
      <c r="A16" s="520"/>
      <c r="B16" s="526"/>
      <c r="C16" s="542"/>
      <c r="D16" s="542"/>
      <c r="E16" s="542"/>
      <c r="F16" s="227"/>
      <c r="G16" s="331"/>
      <c r="H16" s="332"/>
      <c r="I16" s="333"/>
      <c r="J16" s="333"/>
      <c r="K16" s="333"/>
      <c r="L16" s="325">
        <f>I16-J16-K16</f>
        <v>0</v>
      </c>
    </row>
    <row r="17" spans="1:12" ht="15.75" customHeight="1">
      <c r="A17" s="520"/>
      <c r="B17" s="526"/>
      <c r="C17" s="543"/>
      <c r="D17" s="543"/>
      <c r="E17" s="543"/>
      <c r="F17" s="227"/>
      <c r="G17" s="326" t="s">
        <v>28</v>
      </c>
      <c r="H17" s="242"/>
      <c r="I17" s="334">
        <f>SUM(I15)</f>
        <v>180000</v>
      </c>
      <c r="J17" s="334">
        <v>0</v>
      </c>
      <c r="K17" s="334">
        <f>SUM(K15)</f>
        <v>0</v>
      </c>
      <c r="L17" s="335">
        <f>SUM(L15:L16)</f>
        <v>180000</v>
      </c>
    </row>
    <row r="18" spans="1:12" ht="15">
      <c r="A18" s="520">
        <v>4</v>
      </c>
      <c r="B18" s="522" t="s">
        <v>38</v>
      </c>
      <c r="C18" s="540">
        <v>38838</v>
      </c>
      <c r="D18" s="540">
        <v>47939</v>
      </c>
      <c r="E18" s="523">
        <v>20000</v>
      </c>
      <c r="F18" s="227" t="s">
        <v>39</v>
      </c>
      <c r="G18" s="339">
        <v>142.16</v>
      </c>
      <c r="H18" s="242">
        <v>45.211970867919725</v>
      </c>
      <c r="I18" s="237">
        <v>187629.67910186687</v>
      </c>
      <c r="J18" s="237">
        <v>0</v>
      </c>
      <c r="K18" s="237"/>
      <c r="L18" s="325">
        <f>I18-J18-K18</f>
        <v>187629.67910186687</v>
      </c>
    </row>
    <row r="19" spans="1:12" ht="15">
      <c r="A19" s="520"/>
      <c r="B19" s="522"/>
      <c r="C19" s="524"/>
      <c r="D19" s="524"/>
      <c r="E19" s="524"/>
      <c r="F19" s="227" t="s">
        <v>24</v>
      </c>
      <c r="G19" s="339">
        <v>172.27</v>
      </c>
      <c r="H19" s="242">
        <v>54.788029132080275</v>
      </c>
      <c r="I19" s="237">
        <v>227370.32089813313</v>
      </c>
      <c r="J19" s="237">
        <v>0</v>
      </c>
      <c r="K19" s="237"/>
      <c r="L19" s="325">
        <f>I19-J19-K19</f>
        <v>227370.32089813313</v>
      </c>
    </row>
    <row r="20" spans="1:12" ht="15">
      <c r="A20" s="520"/>
      <c r="B20" s="522"/>
      <c r="C20" s="525"/>
      <c r="D20" s="525"/>
      <c r="E20" s="525"/>
      <c r="F20" s="227"/>
      <c r="G20" s="326" t="s">
        <v>28</v>
      </c>
      <c r="H20" s="340"/>
      <c r="I20" s="328">
        <f>SUM(I18:I19)</f>
        <v>415000</v>
      </c>
      <c r="J20" s="328">
        <v>0</v>
      </c>
      <c r="K20" s="328">
        <f>SUM(K18:K19)</f>
        <v>0</v>
      </c>
      <c r="L20" s="329">
        <f>SUM(L18:L19)</f>
        <v>415000</v>
      </c>
    </row>
    <row r="21" spans="1:12" ht="15">
      <c r="A21" s="520">
        <v>5</v>
      </c>
      <c r="B21" s="522" t="s">
        <v>42</v>
      </c>
      <c r="C21" s="540">
        <v>38417</v>
      </c>
      <c r="D21" s="540">
        <v>41317</v>
      </c>
      <c r="E21" s="523">
        <v>20000</v>
      </c>
      <c r="F21" s="227" t="s">
        <v>41</v>
      </c>
      <c r="G21" s="237">
        <v>942.34</v>
      </c>
      <c r="H21" s="341">
        <v>38.844004023149594</v>
      </c>
      <c r="I21" s="237">
        <v>70921.77098550677</v>
      </c>
      <c r="J21" s="237">
        <v>0</v>
      </c>
      <c r="K21" s="237"/>
      <c r="L21" s="325">
        <v>70921.77098550677</v>
      </c>
    </row>
    <row r="22" spans="1:12" ht="15">
      <c r="A22" s="520"/>
      <c r="B22" s="522"/>
      <c r="C22" s="524"/>
      <c r="D22" s="524"/>
      <c r="E22" s="524"/>
      <c r="F22" s="227" t="s">
        <v>43</v>
      </c>
      <c r="G22" s="237">
        <v>418.72</v>
      </c>
      <c r="H22" s="341">
        <v>17.259971310326634</v>
      </c>
      <c r="I22" s="237">
        <v>31513.428218107474</v>
      </c>
      <c r="J22" s="237"/>
      <c r="K22" s="237"/>
      <c r="L22" s="325">
        <v>31513.428218107474</v>
      </c>
    </row>
    <row r="23" spans="1:12" ht="15">
      <c r="A23" s="520"/>
      <c r="B23" s="522"/>
      <c r="C23" s="524"/>
      <c r="D23" s="524"/>
      <c r="E23" s="524"/>
      <c r="F23" s="227" t="s">
        <v>44</v>
      </c>
      <c r="G23" s="237">
        <v>561.68</v>
      </c>
      <c r="H23" s="341">
        <v>23.152896173061382</v>
      </c>
      <c r="I23" s="237">
        <v>42272.7893617372</v>
      </c>
      <c r="J23" s="237"/>
      <c r="K23" s="237"/>
      <c r="L23" s="325">
        <v>42272.7893617372</v>
      </c>
    </row>
    <row r="24" spans="1:12" ht="15">
      <c r="A24" s="520"/>
      <c r="B24" s="522"/>
      <c r="C24" s="524"/>
      <c r="D24" s="524"/>
      <c r="E24" s="524"/>
      <c r="F24" s="227" t="s">
        <v>45</v>
      </c>
      <c r="G24" s="237">
        <v>210.23</v>
      </c>
      <c r="H24" s="341">
        <v>8.665847746871341</v>
      </c>
      <c r="I24" s="237">
        <v>15822.191474715162</v>
      </c>
      <c r="J24" s="237"/>
      <c r="K24" s="237"/>
      <c r="L24" s="325">
        <v>15822.191474715162</v>
      </c>
    </row>
    <row r="25" spans="1:12" ht="15">
      <c r="A25" s="520"/>
      <c r="B25" s="522"/>
      <c r="C25" s="524"/>
      <c r="D25" s="524"/>
      <c r="E25" s="524"/>
      <c r="F25" s="227" t="s">
        <v>24</v>
      </c>
      <c r="G25" s="237">
        <v>92.59</v>
      </c>
      <c r="H25" s="341">
        <v>3.816633415225313</v>
      </c>
      <c r="I25" s="237">
        <v>6968.447455852529</v>
      </c>
      <c r="J25" s="237">
        <v>0</v>
      </c>
      <c r="K25" s="237"/>
      <c r="L25" s="325">
        <v>6968.447455852529</v>
      </c>
    </row>
    <row r="26" spans="1:12" ht="15">
      <c r="A26" s="520"/>
      <c r="B26" s="522"/>
      <c r="C26" s="524"/>
      <c r="D26" s="524"/>
      <c r="E26" s="524"/>
      <c r="F26" s="227" t="s">
        <v>47</v>
      </c>
      <c r="G26" s="237">
        <v>200.4</v>
      </c>
      <c r="H26" s="341">
        <v>8.260647331365728</v>
      </c>
      <c r="I26" s="237">
        <v>15082.372504080857</v>
      </c>
      <c r="J26" s="237"/>
      <c r="K26" s="237"/>
      <c r="L26" s="325">
        <v>15082.372504080857</v>
      </c>
    </row>
    <row r="27" spans="1:12" ht="15">
      <c r="A27" s="520"/>
      <c r="B27" s="522"/>
      <c r="C27" s="525"/>
      <c r="D27" s="525"/>
      <c r="E27" s="525"/>
      <c r="F27" s="227"/>
      <c r="G27" s="342" t="s">
        <v>28</v>
      </c>
      <c r="H27" s="327"/>
      <c r="I27" s="328">
        <f>SUM(I21:I26)</f>
        <v>182580.99999999997</v>
      </c>
      <c r="J27" s="328">
        <v>0</v>
      </c>
      <c r="K27" s="328"/>
      <c r="L27" s="329">
        <f>SUM(L21:L26)</f>
        <v>182580.99999999997</v>
      </c>
    </row>
    <row r="28" spans="1:12" ht="15">
      <c r="A28" s="520">
        <v>6</v>
      </c>
      <c r="B28" s="522" t="s">
        <v>48</v>
      </c>
      <c r="C28" s="544" t="s">
        <v>26</v>
      </c>
      <c r="D28" s="544" t="s">
        <v>95</v>
      </c>
      <c r="E28" s="523">
        <v>20000</v>
      </c>
      <c r="F28" s="227" t="s">
        <v>31</v>
      </c>
      <c r="G28" s="343">
        <v>74.55</v>
      </c>
      <c r="H28" s="242">
        <v>37.41342968985246</v>
      </c>
      <c r="I28" s="237">
        <v>48903.46808190305</v>
      </c>
      <c r="J28" s="237">
        <v>0</v>
      </c>
      <c r="K28" s="237"/>
      <c r="L28" s="325">
        <v>48903.46808190305</v>
      </c>
    </row>
    <row r="29" spans="1:12" ht="15">
      <c r="A29" s="520"/>
      <c r="B29" s="522"/>
      <c r="C29" s="524"/>
      <c r="D29" s="524"/>
      <c r="E29" s="524"/>
      <c r="F29" s="227" t="s">
        <v>49</v>
      </c>
      <c r="G29" s="343">
        <v>76.71</v>
      </c>
      <c r="H29" s="242">
        <v>38.497440529960855</v>
      </c>
      <c r="I29" s="237">
        <v>50320.38949111714</v>
      </c>
      <c r="J29" s="237"/>
      <c r="K29" s="237"/>
      <c r="L29" s="325">
        <v>50320.38949111714</v>
      </c>
    </row>
    <row r="30" spans="1:12" ht="15">
      <c r="A30" s="520"/>
      <c r="B30" s="522"/>
      <c r="C30" s="524"/>
      <c r="D30" s="524"/>
      <c r="E30" s="524"/>
      <c r="F30" s="227" t="s">
        <v>35</v>
      </c>
      <c r="G30" s="343">
        <v>48</v>
      </c>
      <c r="H30" s="242">
        <v>24.089129780186692</v>
      </c>
      <c r="I30" s="237">
        <v>31487.142426979823</v>
      </c>
      <c r="J30" s="237"/>
      <c r="K30" s="237"/>
      <c r="L30" s="325">
        <v>31487.142426979823</v>
      </c>
    </row>
    <row r="31" spans="1:12" ht="15" customHeight="1" hidden="1">
      <c r="A31" s="520"/>
      <c r="B31" s="522"/>
      <c r="C31" s="524"/>
      <c r="D31" s="524"/>
      <c r="E31" s="524"/>
      <c r="F31" s="227"/>
      <c r="G31" s="343"/>
      <c r="H31" s="242"/>
      <c r="I31" s="237"/>
      <c r="J31" s="237"/>
      <c r="K31" s="237"/>
      <c r="L31" s="325">
        <f>I31-J31-K31</f>
        <v>0</v>
      </c>
    </row>
    <row r="32" spans="1:12" ht="15">
      <c r="A32" s="520"/>
      <c r="B32" s="522"/>
      <c r="C32" s="525"/>
      <c r="D32" s="525"/>
      <c r="E32" s="525"/>
      <c r="F32" s="227"/>
      <c r="G32" s="342" t="s">
        <v>28</v>
      </c>
      <c r="H32" s="327"/>
      <c r="I32" s="328">
        <f>SUM(I28:I30)</f>
        <v>130711</v>
      </c>
      <c r="J32" s="328">
        <v>0</v>
      </c>
      <c r="K32" s="328"/>
      <c r="L32" s="329">
        <f>SUM(L28:L31)</f>
        <v>130711</v>
      </c>
    </row>
    <row r="33" spans="1:12" ht="15">
      <c r="A33" s="520">
        <v>7</v>
      </c>
      <c r="B33" s="522" t="s">
        <v>50</v>
      </c>
      <c r="C33" s="544" t="s">
        <v>26</v>
      </c>
      <c r="D33" s="544" t="s">
        <v>95</v>
      </c>
      <c r="E33" s="523">
        <v>20000</v>
      </c>
      <c r="F33" s="227" t="s">
        <v>30</v>
      </c>
      <c r="G33" s="339">
        <v>1033.64</v>
      </c>
      <c r="H33" s="242">
        <v>41.59282776825451</v>
      </c>
      <c r="I33" s="237">
        <v>54366.401104163146</v>
      </c>
      <c r="J33" s="237">
        <v>0</v>
      </c>
      <c r="K33" s="237"/>
      <c r="L33" s="325">
        <v>54366.401104163146</v>
      </c>
    </row>
    <row r="34" spans="1:12" ht="15">
      <c r="A34" s="520"/>
      <c r="B34" s="522"/>
      <c r="C34" s="524"/>
      <c r="D34" s="524"/>
      <c r="E34" s="524"/>
      <c r="F34" s="227" t="s">
        <v>52</v>
      </c>
      <c r="G34" s="339">
        <v>1325.54</v>
      </c>
      <c r="H34" s="242">
        <v>53.33864490531721</v>
      </c>
      <c r="I34" s="237">
        <v>69719.47614218917</v>
      </c>
      <c r="J34" s="237">
        <v>0</v>
      </c>
      <c r="K34" s="237"/>
      <c r="L34" s="325">
        <v>69719.47614218917</v>
      </c>
    </row>
    <row r="35" spans="1:12" ht="15">
      <c r="A35" s="520"/>
      <c r="B35" s="522"/>
      <c r="C35" s="524"/>
      <c r="D35" s="524"/>
      <c r="E35" s="524"/>
      <c r="F35" s="227" t="s">
        <v>53</v>
      </c>
      <c r="G35" s="339">
        <v>125.96</v>
      </c>
      <c r="H35" s="242">
        <v>5.068527326428289</v>
      </c>
      <c r="I35" s="237">
        <v>6625.122753647681</v>
      </c>
      <c r="J35" s="237">
        <v>0</v>
      </c>
      <c r="K35" s="237"/>
      <c r="L35" s="325">
        <v>6625.122753647681</v>
      </c>
    </row>
    <row r="36" spans="1:12" ht="15">
      <c r="A36" s="520"/>
      <c r="B36" s="522"/>
      <c r="C36" s="525"/>
      <c r="D36" s="525"/>
      <c r="E36" s="525"/>
      <c r="F36" s="227"/>
      <c r="G36" s="342" t="s">
        <v>28</v>
      </c>
      <c r="H36" s="327"/>
      <c r="I36" s="328">
        <f>SUM(I33:I35)</f>
        <v>130711</v>
      </c>
      <c r="J36" s="328">
        <v>0</v>
      </c>
      <c r="K36" s="328"/>
      <c r="L36" s="329">
        <f>SUM(L33:L35)</f>
        <v>130711</v>
      </c>
    </row>
    <row r="37" spans="1:12" ht="15">
      <c r="A37" s="520">
        <v>8</v>
      </c>
      <c r="B37" s="522" t="s">
        <v>55</v>
      </c>
      <c r="C37" s="544" t="s">
        <v>91</v>
      </c>
      <c r="D37" s="540" t="s">
        <v>113</v>
      </c>
      <c r="E37" s="523">
        <v>20000</v>
      </c>
      <c r="F37" s="227" t="s">
        <v>56</v>
      </c>
      <c r="G37" s="237">
        <v>115.45</v>
      </c>
      <c r="H37" s="341">
        <v>57.66157227050245</v>
      </c>
      <c r="I37" s="237">
        <v>184896.4444111478</v>
      </c>
      <c r="J37" s="237">
        <v>0</v>
      </c>
      <c r="K37" s="237"/>
      <c r="L37" s="325">
        <f>I37-J37-K37</f>
        <v>184896.4444111478</v>
      </c>
    </row>
    <row r="38" spans="1:12" ht="15">
      <c r="A38" s="520"/>
      <c r="B38" s="522"/>
      <c r="C38" s="524"/>
      <c r="D38" s="524"/>
      <c r="E38" s="524"/>
      <c r="F38" s="227" t="s">
        <v>57</v>
      </c>
      <c r="G38" s="237">
        <v>84.77</v>
      </c>
      <c r="H38" s="341">
        <v>42.33842772949755</v>
      </c>
      <c r="I38" s="237">
        <v>135761.55558885226</v>
      </c>
      <c r="J38" s="237">
        <v>0</v>
      </c>
      <c r="K38" s="237"/>
      <c r="L38" s="325">
        <f>I38-J38-K38</f>
        <v>135761.55558885226</v>
      </c>
    </row>
    <row r="39" spans="1:12" ht="57">
      <c r="A39" s="520"/>
      <c r="B39" s="522"/>
      <c r="C39" s="524"/>
      <c r="D39" s="524"/>
      <c r="E39" s="524"/>
      <c r="F39" s="388" t="s">
        <v>69</v>
      </c>
      <c r="G39" s="237"/>
      <c r="H39" s="341"/>
      <c r="I39" s="237"/>
      <c r="J39" s="389">
        <v>40000</v>
      </c>
      <c r="K39" s="237"/>
      <c r="L39" s="325">
        <f>I39-J39-K39</f>
        <v>-40000</v>
      </c>
    </row>
    <row r="40" spans="1:12" ht="15">
      <c r="A40" s="520"/>
      <c r="B40" s="522"/>
      <c r="C40" s="525"/>
      <c r="D40" s="525"/>
      <c r="E40" s="525"/>
      <c r="F40" s="326"/>
      <c r="G40" s="326" t="s">
        <v>28</v>
      </c>
      <c r="H40" s="341"/>
      <c r="I40" s="328">
        <f>SUM(I37:I39)</f>
        <v>320658.00000000006</v>
      </c>
      <c r="J40" s="328">
        <v>40000</v>
      </c>
      <c r="K40" s="328">
        <f>SUM(K37:K39)</f>
        <v>0</v>
      </c>
      <c r="L40" s="329">
        <f>SUM(L37:L39)</f>
        <v>280658.00000000006</v>
      </c>
    </row>
    <row r="41" spans="1:12" ht="15.75">
      <c r="A41" s="520">
        <v>9</v>
      </c>
      <c r="B41" s="522" t="s">
        <v>82</v>
      </c>
      <c r="C41" s="540">
        <v>38838</v>
      </c>
      <c r="D41" s="540">
        <v>43197</v>
      </c>
      <c r="E41" s="523">
        <v>20000</v>
      </c>
      <c r="F41" s="229" t="s">
        <v>30</v>
      </c>
      <c r="G41" s="230">
        <v>523.6999999999999</v>
      </c>
      <c r="H41" s="240">
        <v>41.388412508989745</v>
      </c>
      <c r="I41" s="237">
        <v>127657.17789035273</v>
      </c>
      <c r="J41" s="237">
        <v>0</v>
      </c>
      <c r="K41" s="237"/>
      <c r="L41" s="325">
        <f>I41-J41-K41</f>
        <v>127657.17789035273</v>
      </c>
    </row>
    <row r="42" spans="1:12" ht="15.75">
      <c r="A42" s="520"/>
      <c r="B42" s="522"/>
      <c r="C42" s="524"/>
      <c r="D42" s="524"/>
      <c r="E42" s="524"/>
      <c r="F42" s="230" t="s">
        <v>32</v>
      </c>
      <c r="G42" s="230">
        <v>741.63</v>
      </c>
      <c r="H42" s="241">
        <v>58.611587491010255</v>
      </c>
      <c r="I42" s="237">
        <v>180779.82210964727</v>
      </c>
      <c r="J42" s="237">
        <v>0</v>
      </c>
      <c r="K42" s="237"/>
      <c r="L42" s="325">
        <f>I42-J42-K42</f>
        <v>180779.82210964727</v>
      </c>
    </row>
    <row r="43" spans="1:12" ht="15">
      <c r="A43" s="520"/>
      <c r="B43" s="522"/>
      <c r="C43" s="524"/>
      <c r="D43" s="524"/>
      <c r="E43" s="524"/>
      <c r="F43" s="227" t="s">
        <v>69</v>
      </c>
      <c r="G43" s="227"/>
      <c r="H43" s="242"/>
      <c r="I43" s="237"/>
      <c r="J43" s="237">
        <v>40000</v>
      </c>
      <c r="K43" s="237"/>
      <c r="L43" s="325">
        <f>I43-J43-K43</f>
        <v>-40000</v>
      </c>
    </row>
    <row r="44" spans="1:12" ht="15.75">
      <c r="A44" s="520"/>
      <c r="B44" s="522"/>
      <c r="C44" s="525"/>
      <c r="D44" s="525"/>
      <c r="E44" s="525"/>
      <c r="F44" s="231"/>
      <c r="G44" s="231" t="s">
        <v>28</v>
      </c>
      <c r="H44" s="243"/>
      <c r="I44" s="328">
        <f>SUM(I41:I43)</f>
        <v>308437</v>
      </c>
      <c r="J44" s="328">
        <v>40000</v>
      </c>
      <c r="K44" s="328">
        <f>SUM(K41:K43)</f>
        <v>0</v>
      </c>
      <c r="L44" s="329">
        <f>SUM(L41:L43)</f>
        <v>268437</v>
      </c>
    </row>
    <row r="45" spans="1:12" ht="15">
      <c r="A45" s="520">
        <v>10</v>
      </c>
      <c r="B45" s="522" t="s">
        <v>84</v>
      </c>
      <c r="C45" s="544" t="s">
        <v>97</v>
      </c>
      <c r="D45" s="540">
        <v>43802</v>
      </c>
      <c r="E45" s="523">
        <v>20000</v>
      </c>
      <c r="F45" s="227" t="s">
        <v>56</v>
      </c>
      <c r="G45" s="237">
        <v>61.94</v>
      </c>
      <c r="H45" s="341">
        <v>50.341352405721715</v>
      </c>
      <c r="I45" s="237">
        <v>218180.428153446</v>
      </c>
      <c r="J45" s="237">
        <v>0</v>
      </c>
      <c r="K45" s="237"/>
      <c r="L45" s="325">
        <f>I45-J45-K45</f>
        <v>218180.428153446</v>
      </c>
    </row>
    <row r="46" spans="1:12" ht="15">
      <c r="A46" s="520"/>
      <c r="B46" s="522"/>
      <c r="C46" s="524"/>
      <c r="D46" s="524"/>
      <c r="E46" s="524"/>
      <c r="F46" s="227" t="s">
        <v>39</v>
      </c>
      <c r="G46" s="237">
        <v>20.31</v>
      </c>
      <c r="H46" s="341">
        <v>16.506827048114435</v>
      </c>
      <c r="I46" s="237">
        <v>71540.91856306892</v>
      </c>
      <c r="J46" s="237">
        <v>0</v>
      </c>
      <c r="K46" s="237"/>
      <c r="L46" s="325">
        <f>I46-J46-K46</f>
        <v>71540.91856306892</v>
      </c>
    </row>
    <row r="47" spans="1:12" ht="15">
      <c r="A47" s="520"/>
      <c r="B47" s="522"/>
      <c r="C47" s="524"/>
      <c r="D47" s="524"/>
      <c r="E47" s="524"/>
      <c r="F47" s="227" t="s">
        <v>57</v>
      </c>
      <c r="G47" s="237">
        <v>40.790000000000006</v>
      </c>
      <c r="H47" s="341">
        <v>33.151820546163854</v>
      </c>
      <c r="I47" s="237">
        <v>143680.65328348507</v>
      </c>
      <c r="J47" s="237">
        <v>0</v>
      </c>
      <c r="K47" s="237"/>
      <c r="L47" s="325">
        <f>I47-J47-K47</f>
        <v>143680.65328348507</v>
      </c>
    </row>
    <row r="48" spans="1:12" ht="57">
      <c r="A48" s="520"/>
      <c r="B48" s="522"/>
      <c r="C48" s="524"/>
      <c r="D48" s="524"/>
      <c r="E48" s="524"/>
      <c r="F48" s="388" t="s">
        <v>69</v>
      </c>
      <c r="G48" s="237"/>
      <c r="H48" s="341"/>
      <c r="I48" s="237"/>
      <c r="J48" s="389">
        <v>136250</v>
      </c>
      <c r="K48" s="237"/>
      <c r="L48" s="325">
        <f>I48-J48-K48</f>
        <v>-136250</v>
      </c>
    </row>
    <row r="49" spans="1:12" ht="15">
      <c r="A49" s="520"/>
      <c r="B49" s="522"/>
      <c r="C49" s="524"/>
      <c r="D49" s="524"/>
      <c r="E49" s="524"/>
      <c r="F49" s="354" t="s">
        <v>116</v>
      </c>
      <c r="G49" s="237"/>
      <c r="H49" s="341"/>
      <c r="I49" s="237"/>
      <c r="J49" s="237"/>
      <c r="K49" s="237">
        <v>46293</v>
      </c>
      <c r="L49" s="325">
        <f>I49-J49-K49</f>
        <v>-46293</v>
      </c>
    </row>
    <row r="50" spans="1:12" ht="15">
      <c r="A50" s="520"/>
      <c r="B50" s="522"/>
      <c r="C50" s="525"/>
      <c r="D50" s="525"/>
      <c r="E50" s="525"/>
      <c r="F50" s="227"/>
      <c r="G50" s="328" t="s">
        <v>28</v>
      </c>
      <c r="H50" s="341"/>
      <c r="I50" s="328">
        <f>SUM(I45:I48)</f>
        <v>433402</v>
      </c>
      <c r="J50" s="328">
        <v>136250</v>
      </c>
      <c r="K50" s="328">
        <f>SUM(K45:K49)</f>
        <v>46293</v>
      </c>
      <c r="L50" s="329">
        <f>SUM(L45:L49)</f>
        <v>250859</v>
      </c>
    </row>
    <row r="51" spans="1:14" ht="21" customHeight="1">
      <c r="A51" s="520">
        <v>11</v>
      </c>
      <c r="B51" s="527" t="s">
        <v>111</v>
      </c>
      <c r="C51" s="544" t="s">
        <v>92</v>
      </c>
      <c r="D51" s="545" t="s">
        <v>112</v>
      </c>
      <c r="E51" s="523">
        <v>20000</v>
      </c>
      <c r="F51" s="227" t="s">
        <v>43</v>
      </c>
      <c r="G51" s="237">
        <v>145.99</v>
      </c>
      <c r="H51" s="341">
        <v>84.32878927911275</v>
      </c>
      <c r="I51" s="237">
        <v>412880.4986136785</v>
      </c>
      <c r="J51" s="237">
        <v>0</v>
      </c>
      <c r="K51" s="237"/>
      <c r="L51" s="325">
        <f>I51-J51-K51</f>
        <v>412880.4986136785</v>
      </c>
      <c r="N51" s="43"/>
    </row>
    <row r="52" spans="1:12" ht="21" customHeight="1">
      <c r="A52" s="520"/>
      <c r="B52" s="527"/>
      <c r="C52" s="524"/>
      <c r="D52" s="546"/>
      <c r="E52" s="524"/>
      <c r="F52" s="227" t="s">
        <v>57</v>
      </c>
      <c r="G52" s="237">
        <v>4.58</v>
      </c>
      <c r="H52" s="341">
        <v>2.645563770794824</v>
      </c>
      <c r="I52" s="237">
        <v>12952.891866913124</v>
      </c>
      <c r="J52" s="237">
        <v>0</v>
      </c>
      <c r="K52" s="237"/>
      <c r="L52" s="325">
        <f>I52-J52-K52</f>
        <v>12952.891866913124</v>
      </c>
    </row>
    <row r="53" spans="1:12" ht="21" customHeight="1">
      <c r="A53" s="520"/>
      <c r="B53" s="527"/>
      <c r="C53" s="524"/>
      <c r="D53" s="546"/>
      <c r="E53" s="524"/>
      <c r="F53" s="227" t="s">
        <v>44</v>
      </c>
      <c r="G53" s="237">
        <v>22.55</v>
      </c>
      <c r="H53" s="341">
        <v>13.02564695009242</v>
      </c>
      <c r="I53" s="237">
        <v>63774.60951940849</v>
      </c>
      <c r="J53" s="237">
        <v>0</v>
      </c>
      <c r="K53" s="237"/>
      <c r="L53" s="325">
        <f>I53-J53-K53</f>
        <v>63774.60951940849</v>
      </c>
    </row>
    <row r="54" spans="1:14" ht="57">
      <c r="A54" s="520"/>
      <c r="B54" s="527"/>
      <c r="C54" s="524"/>
      <c r="D54" s="546"/>
      <c r="E54" s="524"/>
      <c r="F54" s="388" t="s">
        <v>69</v>
      </c>
      <c r="G54" s="237"/>
      <c r="H54" s="341"/>
      <c r="I54" s="237"/>
      <c r="J54" s="389">
        <v>50000</v>
      </c>
      <c r="K54" s="237"/>
      <c r="L54" s="325">
        <f>I54-J54-K54</f>
        <v>-50000</v>
      </c>
      <c r="M54" s="43"/>
      <c r="N54" s="43"/>
    </row>
    <row r="55" spans="1:13" ht="21" customHeight="1">
      <c r="A55" s="520"/>
      <c r="B55" s="527"/>
      <c r="C55" s="525"/>
      <c r="D55" s="546"/>
      <c r="E55" s="525"/>
      <c r="F55" s="391"/>
      <c r="G55" s="328" t="s">
        <v>28</v>
      </c>
      <c r="H55" s="344"/>
      <c r="I55" s="328">
        <f>SUM(I51:I54)</f>
        <v>489608.0000000001</v>
      </c>
      <c r="J55" s="393">
        <v>50000</v>
      </c>
      <c r="K55" s="328">
        <f>SUM(K51:K54)</f>
        <v>0</v>
      </c>
      <c r="L55" s="329">
        <f>SUM(L51:L54)</f>
        <v>439608.0000000001</v>
      </c>
      <c r="M55" s="43"/>
    </row>
    <row r="56" spans="1:12" ht="15">
      <c r="A56" s="520">
        <v>12</v>
      </c>
      <c r="B56" s="528" t="s">
        <v>72</v>
      </c>
      <c r="C56" s="547">
        <v>37321</v>
      </c>
      <c r="D56" s="547">
        <v>41464</v>
      </c>
      <c r="E56" s="548">
        <v>20000</v>
      </c>
      <c r="F56" s="392" t="s">
        <v>39</v>
      </c>
      <c r="G56" s="237">
        <v>61.91</v>
      </c>
      <c r="H56" s="341">
        <v>6.006714014048977</v>
      </c>
      <c r="I56" s="237">
        <v>13488.196452827257</v>
      </c>
      <c r="J56" s="389"/>
      <c r="K56" s="237"/>
      <c r="L56" s="325">
        <v>13488.196452827257</v>
      </c>
    </row>
    <row r="57" spans="1:12" ht="15">
      <c r="A57" s="520"/>
      <c r="B57" s="528"/>
      <c r="C57" s="536"/>
      <c r="D57" s="536"/>
      <c r="E57" s="536"/>
      <c r="F57" s="392" t="s">
        <v>56</v>
      </c>
      <c r="G57" s="237">
        <v>968.77</v>
      </c>
      <c r="H57" s="341">
        <v>93.99328598595102</v>
      </c>
      <c r="I57" s="237">
        <v>211063.80354717278</v>
      </c>
      <c r="J57" s="389"/>
      <c r="K57" s="237"/>
      <c r="L57" s="325">
        <v>211063.80354717278</v>
      </c>
    </row>
    <row r="58" spans="1:12" ht="57">
      <c r="A58" s="520"/>
      <c r="B58" s="528"/>
      <c r="C58" s="536"/>
      <c r="D58" s="536"/>
      <c r="E58" s="536"/>
      <c r="F58" s="388" t="s">
        <v>69</v>
      </c>
      <c r="G58" s="227"/>
      <c r="H58" s="242"/>
      <c r="I58" s="237"/>
      <c r="J58" s="389">
        <v>50000</v>
      </c>
      <c r="K58" s="237"/>
      <c r="L58" s="325">
        <f>I58-J58-K58</f>
        <v>-50000</v>
      </c>
    </row>
    <row r="59" spans="1:12" ht="15">
      <c r="A59" s="520"/>
      <c r="B59" s="528"/>
      <c r="C59" s="537"/>
      <c r="D59" s="537"/>
      <c r="E59" s="537"/>
      <c r="F59" s="326"/>
      <c r="G59" s="326" t="s">
        <v>28</v>
      </c>
      <c r="H59" s="327"/>
      <c r="I59" s="328">
        <f>SUM(I56:I58)</f>
        <v>224552.00000000003</v>
      </c>
      <c r="J59" s="328">
        <v>50000</v>
      </c>
      <c r="K59" s="328">
        <f>SUM(K56:K58)</f>
        <v>0</v>
      </c>
      <c r="L59" s="329">
        <f>SUM(L56:L58)</f>
        <v>174552.00000000003</v>
      </c>
    </row>
    <row r="60" spans="1:12" ht="15.75">
      <c r="A60" s="345">
        <v>13</v>
      </c>
      <c r="B60" s="232" t="s">
        <v>106</v>
      </c>
      <c r="C60" s="346" t="s">
        <v>96</v>
      </c>
      <c r="D60" s="346" t="s">
        <v>99</v>
      </c>
      <c r="E60" s="229">
        <v>10000</v>
      </c>
      <c r="F60" s="232" t="s">
        <v>105</v>
      </c>
      <c r="G60" s="233">
        <v>2436.3</v>
      </c>
      <c r="H60" s="244">
        <v>100</v>
      </c>
      <c r="I60" s="238">
        <v>70000</v>
      </c>
      <c r="J60" s="238">
        <v>0</v>
      </c>
      <c r="K60" s="239"/>
      <c r="L60" s="234">
        <f>I60-J60-K60</f>
        <v>70000</v>
      </c>
    </row>
    <row r="61" spans="1:12" ht="15.75">
      <c r="A61" s="369">
        <v>14</v>
      </c>
      <c r="B61" s="232" t="s">
        <v>100</v>
      </c>
      <c r="C61" s="346" t="s">
        <v>96</v>
      </c>
      <c r="D61" s="346" t="s">
        <v>101</v>
      </c>
      <c r="E61" s="229">
        <v>10000</v>
      </c>
      <c r="F61" s="232" t="s">
        <v>105</v>
      </c>
      <c r="G61" s="355">
        <v>900.36</v>
      </c>
      <c r="H61" s="362">
        <v>100</v>
      </c>
      <c r="I61" s="363">
        <v>40000</v>
      </c>
      <c r="J61" s="363"/>
      <c r="K61" s="364"/>
      <c r="L61" s="234">
        <f>I61-J61-K61</f>
        <v>40000</v>
      </c>
    </row>
    <row r="62" spans="1:12" ht="15.75">
      <c r="A62" s="369">
        <v>15</v>
      </c>
      <c r="B62" s="232" t="s">
        <v>103</v>
      </c>
      <c r="C62" s="346" t="s">
        <v>96</v>
      </c>
      <c r="D62" s="346" t="s">
        <v>104</v>
      </c>
      <c r="E62" s="229">
        <v>10000</v>
      </c>
      <c r="F62" s="232" t="s">
        <v>105</v>
      </c>
      <c r="G62" s="355">
        <v>833.78</v>
      </c>
      <c r="H62" s="362">
        <v>100</v>
      </c>
      <c r="I62" s="363">
        <v>50000</v>
      </c>
      <c r="J62" s="363"/>
      <c r="K62" s="364"/>
      <c r="L62" s="234">
        <f>I62-J62-K62</f>
        <v>50000</v>
      </c>
    </row>
    <row r="63" spans="1:12" ht="15.75" thickBot="1">
      <c r="A63" s="347"/>
      <c r="B63" s="348"/>
      <c r="C63" s="348"/>
      <c r="D63" s="348"/>
      <c r="E63" s="348"/>
      <c r="F63" s="236"/>
      <c r="G63" s="236" t="s">
        <v>27</v>
      </c>
      <c r="H63" s="349"/>
      <c r="I63" s="350">
        <f>I60+I59+I55+I50+I44+I40+I36+I32+I27+I20+I17+I14+I7+I61+I62</f>
        <v>3457414</v>
      </c>
      <c r="J63" s="350">
        <f>J60+J59+J55+J50+J44+J40+J36+J32+J27+J20+J17+J14+J7+J61+J62</f>
        <v>356250</v>
      </c>
      <c r="K63" s="350">
        <f>K60+K59+K55+K50+K44+K40+K36+K32+K27+K20+K17+K14+K7+K61+K62</f>
        <v>75175</v>
      </c>
      <c r="L63" s="350">
        <f>L60+L59+L55+L50+L44+L40+L36+L32+L27+L20+L17+L14+L7+L61+L62</f>
        <v>3025989</v>
      </c>
    </row>
    <row r="64" spans="9:12" ht="15">
      <c r="I64"/>
      <c r="J64"/>
      <c r="L64" s="43"/>
    </row>
    <row r="65" spans="1:12" s="317" customFormat="1" ht="12.75">
      <c r="A65" s="315"/>
      <c r="B65" s="316"/>
      <c r="C65" s="316"/>
      <c r="D65" s="316"/>
      <c r="E65" s="316"/>
      <c r="F65" s="316"/>
      <c r="G65" s="316"/>
      <c r="H65" s="316"/>
      <c r="I65" s="320"/>
      <c r="L65" s="318"/>
    </row>
    <row r="66" spans="1:12" ht="15.75">
      <c r="A66" s="293"/>
      <c r="J66" s="228"/>
      <c r="K66" s="228"/>
      <c r="L66" s="228"/>
    </row>
    <row r="68" spans="10:12" ht="15">
      <c r="J68" s="228"/>
      <c r="K68" s="228"/>
      <c r="L68" s="228"/>
    </row>
  </sheetData>
  <sheetProtection/>
  <mergeCells count="71">
    <mergeCell ref="C51:C55"/>
    <mergeCell ref="D51:D55"/>
    <mergeCell ref="E51:E55"/>
    <mergeCell ref="C56:C59"/>
    <mergeCell ref="D56:D59"/>
    <mergeCell ref="E56:E59"/>
    <mergeCell ref="C41:C44"/>
    <mergeCell ref="D41:D44"/>
    <mergeCell ref="E41:E44"/>
    <mergeCell ref="C45:C50"/>
    <mergeCell ref="D45:D50"/>
    <mergeCell ref="E45:E50"/>
    <mergeCell ref="C33:C36"/>
    <mergeCell ref="D33:D36"/>
    <mergeCell ref="E33:E36"/>
    <mergeCell ref="C37:C40"/>
    <mergeCell ref="D37:D40"/>
    <mergeCell ref="E37:E40"/>
    <mergeCell ref="C21:C27"/>
    <mergeCell ref="D21:D27"/>
    <mergeCell ref="E21:E27"/>
    <mergeCell ref="C28:C32"/>
    <mergeCell ref="D28:D32"/>
    <mergeCell ref="E28:E32"/>
    <mergeCell ref="C15:C17"/>
    <mergeCell ref="D15:D17"/>
    <mergeCell ref="E15:E17"/>
    <mergeCell ref="C18:C20"/>
    <mergeCell ref="D18:D20"/>
    <mergeCell ref="E18:E20"/>
    <mergeCell ref="A56:A59"/>
    <mergeCell ref="B56:B59"/>
    <mergeCell ref="C3:C4"/>
    <mergeCell ref="D3:D4"/>
    <mergeCell ref="E3:E4"/>
    <mergeCell ref="C5:C7"/>
    <mergeCell ref="D5:D7"/>
    <mergeCell ref="E5:E7"/>
    <mergeCell ref="C8:C14"/>
    <mergeCell ref="D8:D14"/>
    <mergeCell ref="A41:A44"/>
    <mergeCell ref="B41:B44"/>
    <mergeCell ref="A45:A50"/>
    <mergeCell ref="B45:B50"/>
    <mergeCell ref="A51:A55"/>
    <mergeCell ref="B51:B55"/>
    <mergeCell ref="A28:A32"/>
    <mergeCell ref="B28:B32"/>
    <mergeCell ref="A33:A36"/>
    <mergeCell ref="B33:B36"/>
    <mergeCell ref="A37:A40"/>
    <mergeCell ref="B37:B40"/>
    <mergeCell ref="A15:A17"/>
    <mergeCell ref="B15:B17"/>
    <mergeCell ref="A18:A20"/>
    <mergeCell ref="B18:B20"/>
    <mergeCell ref="A21:A27"/>
    <mergeCell ref="B21:B27"/>
    <mergeCell ref="A8:A14"/>
    <mergeCell ref="B8:B14"/>
    <mergeCell ref="E8:E14"/>
    <mergeCell ref="A3:A4"/>
    <mergeCell ref="B3:B4"/>
    <mergeCell ref="F3:F4"/>
    <mergeCell ref="G3:H3"/>
    <mergeCell ref="I3:I4"/>
    <mergeCell ref="J3:J4"/>
    <mergeCell ref="K3:K4"/>
    <mergeCell ref="L3:L4"/>
    <mergeCell ref="A5:A7"/>
    <mergeCell ref="B5:B7"/>
  </mergeCells>
  <printOptions/>
  <pageMargins left="0.7" right="0.7" top="0.5" bottom="0.5" header="0.3" footer="0.3"/>
  <pageSetup fitToHeight="0" fitToWidth="1" horizontalDpi="600" verticalDpi="600" orientation="landscape" paperSize="9" scale="83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80" zoomScaleSheetLayoutView="80" zoomScalePageLayoutView="0" workbookViewId="0" topLeftCell="A64">
      <selection activeCell="F84" sqref="F84"/>
    </sheetView>
  </sheetViews>
  <sheetFormatPr defaultColWidth="9.140625" defaultRowHeight="15"/>
  <cols>
    <col min="1" max="1" width="17.00390625" style="0" customWidth="1"/>
    <col min="2" max="2" width="11.7109375" style="0" bestFit="1" customWidth="1"/>
    <col min="4" max="4" width="18.140625" style="0" customWidth="1"/>
    <col min="6" max="6" width="17.00390625" style="0" customWidth="1"/>
    <col min="8" max="8" width="10.7109375" style="0" bestFit="1" customWidth="1"/>
    <col min="9" max="9" width="11.140625" style="0" customWidth="1"/>
    <col min="10" max="10" width="10.57421875" style="0" bestFit="1" customWidth="1"/>
    <col min="11" max="11" width="26.57421875" style="0" customWidth="1"/>
    <col min="13" max="13" width="14.7109375" style="0" customWidth="1"/>
    <col min="17" max="17" width="11.710937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6">
        <v>1</v>
      </c>
      <c r="B7" s="6">
        <v>2</v>
      </c>
      <c r="C7" s="6">
        <v>3</v>
      </c>
      <c r="D7" s="7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01" t="s">
        <v>29</v>
      </c>
      <c r="B8" s="367">
        <v>38838</v>
      </c>
      <c r="C8" s="81">
        <v>20000</v>
      </c>
      <c r="D8" s="71" t="s">
        <v>30</v>
      </c>
      <c r="E8" s="72">
        <v>460.65</v>
      </c>
      <c r="F8" s="78">
        <v>36.96941486160044</v>
      </c>
      <c r="G8" s="441">
        <v>2006</v>
      </c>
      <c r="H8" s="438">
        <v>19726</v>
      </c>
      <c r="I8" s="92">
        <f>H8/100*F8</f>
        <v>7292.586775599303</v>
      </c>
      <c r="J8" s="72"/>
      <c r="K8" s="68"/>
      <c r="L8" s="73"/>
      <c r="M8" s="69"/>
      <c r="N8" s="69"/>
      <c r="O8" s="72">
        <f>I8-J8</f>
        <v>7292.586775599303</v>
      </c>
      <c r="P8" s="74"/>
      <c r="Q8" s="72" t="s">
        <v>23</v>
      </c>
    </row>
    <row r="9" spans="1:17" ht="15.75">
      <c r="A9" s="202"/>
      <c r="B9" s="366">
        <v>43628</v>
      </c>
      <c r="C9" s="83"/>
      <c r="D9" s="71" t="s">
        <v>31</v>
      </c>
      <c r="E9" s="72">
        <v>23.67</v>
      </c>
      <c r="F9" s="78">
        <v>1.8996332351548522</v>
      </c>
      <c r="G9" s="442"/>
      <c r="H9" s="450"/>
      <c r="I9" s="92">
        <f>H8/100*F9</f>
        <v>374.7216519666461</v>
      </c>
      <c r="J9" s="72"/>
      <c r="K9" s="68"/>
      <c r="L9" s="73"/>
      <c r="M9" s="69"/>
      <c r="N9" s="69"/>
      <c r="O9" s="72">
        <f aca="true" t="shared" si="0" ref="O9:O47">I9-J9</f>
        <v>374.7216519666461</v>
      </c>
      <c r="P9" s="74"/>
      <c r="Q9" s="72"/>
    </row>
    <row r="10" spans="1:17" ht="15.75">
      <c r="A10" s="202"/>
      <c r="B10" s="82"/>
      <c r="C10" s="83"/>
      <c r="D10" s="71" t="s">
        <v>32</v>
      </c>
      <c r="E10" s="72">
        <v>115.68</v>
      </c>
      <c r="F10" s="78">
        <v>9.283885620731445</v>
      </c>
      <c r="G10" s="442"/>
      <c r="H10" s="450"/>
      <c r="I10" s="92">
        <f>H8/100*F10</f>
        <v>1831.3392775454847</v>
      </c>
      <c r="J10" s="72"/>
      <c r="K10" s="68"/>
      <c r="L10" s="73"/>
      <c r="M10" s="69"/>
      <c r="N10" s="69"/>
      <c r="O10" s="72">
        <f t="shared" si="0"/>
        <v>1831.3392775454847</v>
      </c>
      <c r="P10" s="74"/>
      <c r="Q10" s="72"/>
    </row>
    <row r="11" spans="1:17" ht="15.75">
      <c r="A11" s="202"/>
      <c r="B11" s="82"/>
      <c r="C11" s="83"/>
      <c r="D11" s="71" t="s">
        <v>33</v>
      </c>
      <c r="E11" s="72">
        <v>115.31</v>
      </c>
      <c r="F11" s="78">
        <v>9.254191311605659</v>
      </c>
      <c r="G11" s="442"/>
      <c r="H11" s="450"/>
      <c r="I11" s="92">
        <f>H8/100*F11</f>
        <v>1825.4817781273323</v>
      </c>
      <c r="J11" s="72"/>
      <c r="K11" s="68"/>
      <c r="L11" s="73"/>
      <c r="M11" s="69"/>
      <c r="N11" s="69"/>
      <c r="O11" s="72">
        <f t="shared" si="0"/>
        <v>1825.4817781273323</v>
      </c>
      <c r="P11" s="74"/>
      <c r="Q11" s="72"/>
    </row>
    <row r="12" spans="1:17" ht="15.75">
      <c r="A12" s="202"/>
      <c r="B12" s="82"/>
      <c r="C12" s="83"/>
      <c r="D12" s="71" t="s">
        <v>34</v>
      </c>
      <c r="E12" s="72">
        <v>530.72</v>
      </c>
      <c r="F12" s="78">
        <v>42.59287497090761</v>
      </c>
      <c r="G12" s="443"/>
      <c r="H12" s="451"/>
      <c r="I12" s="92">
        <f>H8/100*F12</f>
        <v>8401.870516761235</v>
      </c>
      <c r="J12" s="72"/>
      <c r="K12" s="68"/>
      <c r="L12" s="73"/>
      <c r="M12" s="69"/>
      <c r="N12" s="69"/>
      <c r="O12" s="72">
        <f t="shared" si="0"/>
        <v>8401.870516761235</v>
      </c>
      <c r="P12" s="74"/>
      <c r="Q12" s="72"/>
    </row>
    <row r="13" spans="1:17" ht="15.75">
      <c r="A13" s="202"/>
      <c r="B13" s="82"/>
      <c r="C13" s="83"/>
      <c r="D13" s="71" t="s">
        <v>30</v>
      </c>
      <c r="E13" s="72">
        <v>460.65</v>
      </c>
      <c r="F13" s="78">
        <v>36.96941486160044</v>
      </c>
      <c r="G13" s="441">
        <v>2007</v>
      </c>
      <c r="H13" s="438">
        <v>20000</v>
      </c>
      <c r="I13" s="92">
        <f>H13/100*F13</f>
        <v>7393.882972320088</v>
      </c>
      <c r="J13" s="72"/>
      <c r="K13" s="68"/>
      <c r="L13" s="73"/>
      <c r="M13" s="69"/>
      <c r="N13" s="69"/>
      <c r="O13" s="72">
        <f t="shared" si="0"/>
        <v>7393.882972320088</v>
      </c>
      <c r="P13" s="74"/>
      <c r="Q13" s="72"/>
    </row>
    <row r="14" spans="1:17" ht="15.75">
      <c r="A14" s="202"/>
      <c r="B14" s="82"/>
      <c r="C14" s="83"/>
      <c r="D14" s="71" t="s">
        <v>31</v>
      </c>
      <c r="E14" s="72">
        <v>23.67</v>
      </c>
      <c r="F14" s="78">
        <v>1.8996332351548522</v>
      </c>
      <c r="G14" s="442"/>
      <c r="H14" s="450"/>
      <c r="I14" s="92">
        <f>H13/100*F14</f>
        <v>379.92664703097046</v>
      </c>
      <c r="J14" s="72"/>
      <c r="K14" s="68"/>
      <c r="L14" s="73"/>
      <c r="M14" s="69"/>
      <c r="N14" s="69"/>
      <c r="O14" s="72">
        <f t="shared" si="0"/>
        <v>379.92664703097046</v>
      </c>
      <c r="P14" s="74"/>
      <c r="Q14" s="72"/>
    </row>
    <row r="15" spans="1:17" ht="15.75">
      <c r="A15" s="202"/>
      <c r="B15" s="82"/>
      <c r="C15" s="83"/>
      <c r="D15" s="71" t="s">
        <v>32</v>
      </c>
      <c r="E15" s="72">
        <v>115.68</v>
      </c>
      <c r="F15" s="78">
        <v>9.283885620731445</v>
      </c>
      <c r="G15" s="442"/>
      <c r="H15" s="450"/>
      <c r="I15" s="92">
        <f>H13/100*F15</f>
        <v>1856.777124146289</v>
      </c>
      <c r="J15" s="72"/>
      <c r="K15" s="68"/>
      <c r="L15" s="73"/>
      <c r="M15" s="69"/>
      <c r="N15" s="69"/>
      <c r="O15" s="72">
        <f t="shared" si="0"/>
        <v>1856.777124146289</v>
      </c>
      <c r="P15" s="74"/>
      <c r="Q15" s="72"/>
    </row>
    <row r="16" spans="1:17" ht="15.75">
      <c r="A16" s="202"/>
      <c r="B16" s="82"/>
      <c r="C16" s="83"/>
      <c r="D16" s="71" t="s">
        <v>33</v>
      </c>
      <c r="E16" s="72">
        <v>115.31</v>
      </c>
      <c r="F16" s="78">
        <v>9.254191311605659</v>
      </c>
      <c r="G16" s="442"/>
      <c r="H16" s="450"/>
      <c r="I16" s="92">
        <f>H13/100*F16</f>
        <v>1850.8382623211319</v>
      </c>
      <c r="J16" s="72"/>
      <c r="K16" s="68"/>
      <c r="L16" s="73"/>
      <c r="M16" s="69"/>
      <c r="N16" s="69"/>
      <c r="O16" s="72">
        <f t="shared" si="0"/>
        <v>1850.8382623211319</v>
      </c>
      <c r="P16" s="74"/>
      <c r="Q16" s="72"/>
    </row>
    <row r="17" spans="1:17" ht="15.75">
      <c r="A17" s="202"/>
      <c r="B17" s="82"/>
      <c r="C17" s="83"/>
      <c r="D17" s="71" t="s">
        <v>34</v>
      </c>
      <c r="E17" s="72">
        <v>530.72</v>
      </c>
      <c r="F17" s="78">
        <v>42.59287497090761</v>
      </c>
      <c r="G17" s="443"/>
      <c r="H17" s="451"/>
      <c r="I17" s="92">
        <f>H13/100*F17</f>
        <v>8518.574994181521</v>
      </c>
      <c r="J17" s="72"/>
      <c r="K17" s="68"/>
      <c r="L17" s="73"/>
      <c r="M17" s="69"/>
      <c r="N17" s="69"/>
      <c r="O17" s="72">
        <f t="shared" si="0"/>
        <v>8518.574994181521</v>
      </c>
      <c r="P17" s="74"/>
      <c r="Q17" s="72"/>
    </row>
    <row r="18" spans="1:17" ht="15.75">
      <c r="A18" s="202"/>
      <c r="B18" s="82"/>
      <c r="C18" s="83"/>
      <c r="D18" s="71" t="s">
        <v>30</v>
      </c>
      <c r="E18" s="72">
        <v>460.65</v>
      </c>
      <c r="F18" s="78">
        <v>36.96941486160044</v>
      </c>
      <c r="G18" s="441">
        <v>2008</v>
      </c>
      <c r="H18" s="438">
        <v>20000</v>
      </c>
      <c r="I18" s="92">
        <f>H18/100*F18</f>
        <v>7393.882972320088</v>
      </c>
      <c r="J18" s="72"/>
      <c r="K18" s="68"/>
      <c r="L18" s="73"/>
      <c r="M18" s="69"/>
      <c r="N18" s="69"/>
      <c r="O18" s="72">
        <f t="shared" si="0"/>
        <v>7393.882972320088</v>
      </c>
      <c r="P18" s="74"/>
      <c r="Q18" s="72"/>
    </row>
    <row r="19" spans="1:17" ht="15.75">
      <c r="A19" s="202"/>
      <c r="B19" s="82"/>
      <c r="C19" s="83"/>
      <c r="D19" s="71" t="s">
        <v>31</v>
      </c>
      <c r="E19" s="72">
        <v>23.67</v>
      </c>
      <c r="F19" s="78">
        <v>1.8996332351548522</v>
      </c>
      <c r="G19" s="439"/>
      <c r="H19" s="439"/>
      <c r="I19" s="92">
        <f>H18/100*F19</f>
        <v>379.92664703097046</v>
      </c>
      <c r="J19" s="72"/>
      <c r="K19" s="68"/>
      <c r="L19" s="73"/>
      <c r="M19" s="69"/>
      <c r="N19" s="69"/>
      <c r="O19" s="72">
        <f t="shared" si="0"/>
        <v>379.92664703097046</v>
      </c>
      <c r="P19" s="74"/>
      <c r="Q19" s="72"/>
    </row>
    <row r="20" spans="1:17" ht="15.75">
      <c r="A20" s="202"/>
      <c r="B20" s="82"/>
      <c r="C20" s="83"/>
      <c r="D20" s="71" t="s">
        <v>32</v>
      </c>
      <c r="E20" s="72">
        <v>115.68</v>
      </c>
      <c r="F20" s="78">
        <v>9.283885620731445</v>
      </c>
      <c r="G20" s="439"/>
      <c r="H20" s="439"/>
      <c r="I20" s="92">
        <f>H18/100*F20</f>
        <v>1856.777124146289</v>
      </c>
      <c r="J20" s="72"/>
      <c r="K20" s="68"/>
      <c r="L20" s="73"/>
      <c r="M20" s="69"/>
      <c r="N20" s="69"/>
      <c r="O20" s="72">
        <f t="shared" si="0"/>
        <v>1856.777124146289</v>
      </c>
      <c r="P20" s="74"/>
      <c r="Q20" s="72"/>
    </row>
    <row r="21" spans="1:17" ht="15.75">
      <c r="A21" s="202"/>
      <c r="B21" s="82"/>
      <c r="C21" s="83"/>
      <c r="D21" s="71" t="s">
        <v>33</v>
      </c>
      <c r="E21" s="72">
        <v>115.31</v>
      </c>
      <c r="F21" s="78">
        <v>9.254191311605659</v>
      </c>
      <c r="G21" s="439"/>
      <c r="H21" s="439"/>
      <c r="I21" s="92">
        <f>H18/100*F21</f>
        <v>1850.8382623211319</v>
      </c>
      <c r="J21" s="72"/>
      <c r="K21" s="68"/>
      <c r="L21" s="73"/>
      <c r="M21" s="69"/>
      <c r="N21" s="69"/>
      <c r="O21" s="72">
        <f t="shared" si="0"/>
        <v>1850.8382623211319</v>
      </c>
      <c r="P21" s="74"/>
      <c r="Q21" s="72"/>
    </row>
    <row r="22" spans="1:17" ht="15.75">
      <c r="A22" s="202"/>
      <c r="B22" s="82"/>
      <c r="C22" s="83"/>
      <c r="D22" s="71" t="s">
        <v>34</v>
      </c>
      <c r="E22" s="72">
        <v>530.72</v>
      </c>
      <c r="F22" s="78">
        <v>42.59287497090761</v>
      </c>
      <c r="G22" s="440"/>
      <c r="H22" s="440"/>
      <c r="I22" s="92">
        <f>H18/100*F22</f>
        <v>8518.574994181521</v>
      </c>
      <c r="J22" s="72"/>
      <c r="K22" s="68"/>
      <c r="L22" s="73"/>
      <c r="M22" s="69"/>
      <c r="N22" s="69"/>
      <c r="O22" s="72">
        <f t="shared" si="0"/>
        <v>8518.574994181521</v>
      </c>
      <c r="P22" s="74"/>
      <c r="Q22" s="72"/>
    </row>
    <row r="23" spans="1:17" ht="15.75">
      <c r="A23" s="202"/>
      <c r="B23" s="82"/>
      <c r="C23" s="83"/>
      <c r="D23" s="71" t="s">
        <v>30</v>
      </c>
      <c r="E23" s="72">
        <v>460.65</v>
      </c>
      <c r="F23" s="78">
        <v>36.96941486160044</v>
      </c>
      <c r="G23" s="441">
        <v>2009</v>
      </c>
      <c r="H23" s="438">
        <v>20000</v>
      </c>
      <c r="I23" s="92">
        <f>H23/100*F23</f>
        <v>7393.882972320088</v>
      </c>
      <c r="J23" s="72"/>
      <c r="K23" s="245"/>
      <c r="L23" s="73"/>
      <c r="M23" s="438"/>
      <c r="N23" s="438"/>
      <c r="O23" s="72">
        <f t="shared" si="0"/>
        <v>7393.882972320088</v>
      </c>
      <c r="P23" s="74"/>
      <c r="Q23" s="73"/>
    </row>
    <row r="24" spans="1:17" ht="15.75">
      <c r="A24" s="202"/>
      <c r="B24" s="82"/>
      <c r="C24" s="83"/>
      <c r="D24" s="71" t="s">
        <v>31</v>
      </c>
      <c r="E24" s="72">
        <v>23.67</v>
      </c>
      <c r="F24" s="78">
        <v>1.8996332351548522</v>
      </c>
      <c r="G24" s="439"/>
      <c r="H24" s="439"/>
      <c r="I24" s="92">
        <f>H23/100*F24</f>
        <v>379.92664703097046</v>
      </c>
      <c r="J24" s="72"/>
      <c r="K24" s="245"/>
      <c r="L24" s="73"/>
      <c r="M24" s="450"/>
      <c r="N24" s="450"/>
      <c r="O24" s="72">
        <f t="shared" si="0"/>
        <v>379.92664703097046</v>
      </c>
      <c r="P24" s="74"/>
      <c r="Q24" s="72"/>
    </row>
    <row r="25" spans="1:17" ht="15.75">
      <c r="A25" s="202"/>
      <c r="B25" s="82"/>
      <c r="C25" s="83"/>
      <c r="D25" s="71" t="s">
        <v>32</v>
      </c>
      <c r="E25" s="72">
        <v>115.68</v>
      </c>
      <c r="F25" s="78">
        <v>9.283885620731445</v>
      </c>
      <c r="G25" s="439"/>
      <c r="H25" s="439"/>
      <c r="I25" s="92">
        <f>H23/100*F25</f>
        <v>1856.777124146289</v>
      </c>
      <c r="J25" s="72"/>
      <c r="K25" s="245"/>
      <c r="L25" s="73"/>
      <c r="M25" s="450"/>
      <c r="N25" s="450"/>
      <c r="O25" s="72">
        <f t="shared" si="0"/>
        <v>1856.777124146289</v>
      </c>
      <c r="P25" s="74"/>
      <c r="Q25" s="72"/>
    </row>
    <row r="26" spans="1:17" ht="15.75">
      <c r="A26" s="202"/>
      <c r="B26" s="82"/>
      <c r="C26" s="83"/>
      <c r="D26" s="71" t="s">
        <v>33</v>
      </c>
      <c r="E26" s="72">
        <v>115.31</v>
      </c>
      <c r="F26" s="78">
        <v>9.254191311605659</v>
      </c>
      <c r="G26" s="439"/>
      <c r="H26" s="439"/>
      <c r="I26" s="92">
        <f>H23/100*F26</f>
        <v>1850.8382623211319</v>
      </c>
      <c r="J26" s="72"/>
      <c r="K26" s="245"/>
      <c r="L26" s="73"/>
      <c r="M26" s="450"/>
      <c r="N26" s="450"/>
      <c r="O26" s="72">
        <f t="shared" si="0"/>
        <v>1850.8382623211319</v>
      </c>
      <c r="P26" s="74"/>
      <c r="Q26" s="72"/>
    </row>
    <row r="27" spans="1:17" ht="15.75">
      <c r="A27" s="202"/>
      <c r="B27" s="82"/>
      <c r="C27" s="83"/>
      <c r="D27" s="71" t="s">
        <v>34</v>
      </c>
      <c r="E27" s="72">
        <v>530.72</v>
      </c>
      <c r="F27" s="78">
        <v>42.59287497090761</v>
      </c>
      <c r="G27" s="440"/>
      <c r="H27" s="440"/>
      <c r="I27" s="92">
        <f>H23/100*F27</f>
        <v>8518.574994181521</v>
      </c>
      <c r="J27" s="72"/>
      <c r="K27" s="245"/>
      <c r="L27" s="73"/>
      <c r="M27" s="451"/>
      <c r="N27" s="451"/>
      <c r="O27" s="72">
        <f t="shared" si="0"/>
        <v>8518.574994181521</v>
      </c>
      <c r="P27" s="74"/>
      <c r="Q27" s="72"/>
    </row>
    <row r="28" spans="1:17" ht="15.75">
      <c r="A28" s="202"/>
      <c r="B28" s="82"/>
      <c r="C28" s="83"/>
      <c r="D28" s="71" t="s">
        <v>30</v>
      </c>
      <c r="E28" s="72">
        <v>460.65</v>
      </c>
      <c r="F28" s="78">
        <v>36.96941486160044</v>
      </c>
      <c r="G28" s="441">
        <v>2010</v>
      </c>
      <c r="H28" s="438">
        <v>20000</v>
      </c>
      <c r="I28" s="92">
        <f>H28/100*F28</f>
        <v>7393.882972320088</v>
      </c>
      <c r="J28" s="92"/>
      <c r="K28" s="68"/>
      <c r="L28" s="73"/>
      <c r="M28" s="91"/>
      <c r="N28" s="69"/>
      <c r="O28" s="92">
        <f t="shared" si="0"/>
        <v>7393.882972320088</v>
      </c>
      <c r="P28" s="74"/>
      <c r="Q28" s="73"/>
    </row>
    <row r="29" spans="1:17" ht="15.75">
      <c r="A29" s="202"/>
      <c r="B29" s="82"/>
      <c r="C29" s="83"/>
      <c r="D29" s="71" t="s">
        <v>31</v>
      </c>
      <c r="E29" s="72">
        <v>23.67</v>
      </c>
      <c r="F29" s="78">
        <v>1.8996332351548522</v>
      </c>
      <c r="G29" s="439"/>
      <c r="H29" s="439"/>
      <c r="I29" s="92">
        <f>H28/100*F29</f>
        <v>379.92664703097046</v>
      </c>
      <c r="J29" s="72"/>
      <c r="K29" s="68"/>
      <c r="L29" s="73"/>
      <c r="M29" s="69"/>
      <c r="N29" s="69"/>
      <c r="O29" s="72">
        <f t="shared" si="0"/>
        <v>379.92664703097046</v>
      </c>
      <c r="P29" s="74"/>
      <c r="Q29" s="72"/>
    </row>
    <row r="30" spans="1:17" ht="15.75">
      <c r="A30" s="202"/>
      <c r="B30" s="82"/>
      <c r="C30" s="83"/>
      <c r="D30" s="71" t="s">
        <v>32</v>
      </c>
      <c r="E30" s="72">
        <v>115.68</v>
      </c>
      <c r="F30" s="78">
        <v>9.283885620731445</v>
      </c>
      <c r="G30" s="439"/>
      <c r="H30" s="439"/>
      <c r="I30" s="92">
        <f>H28/100*F30</f>
        <v>1856.777124146289</v>
      </c>
      <c r="J30" s="72"/>
      <c r="K30" s="68"/>
      <c r="L30" s="73"/>
      <c r="M30" s="69"/>
      <c r="N30" s="69"/>
      <c r="O30" s="72">
        <f t="shared" si="0"/>
        <v>1856.777124146289</v>
      </c>
      <c r="P30" s="74"/>
      <c r="Q30" s="72"/>
    </row>
    <row r="31" spans="1:17" ht="15.75">
      <c r="A31" s="202"/>
      <c r="B31" s="82"/>
      <c r="C31" s="83"/>
      <c r="D31" s="71" t="s">
        <v>33</v>
      </c>
      <c r="E31" s="72">
        <v>115.31</v>
      </c>
      <c r="F31" s="78">
        <v>9.254191311605659</v>
      </c>
      <c r="G31" s="439"/>
      <c r="H31" s="439"/>
      <c r="I31" s="92">
        <f>H28/100*F31</f>
        <v>1850.8382623211319</v>
      </c>
      <c r="J31" s="72"/>
      <c r="K31" s="68"/>
      <c r="L31" s="73"/>
      <c r="M31" s="69"/>
      <c r="N31" s="69"/>
      <c r="O31" s="72">
        <f t="shared" si="0"/>
        <v>1850.8382623211319</v>
      </c>
      <c r="P31" s="74"/>
      <c r="Q31" s="72"/>
    </row>
    <row r="32" spans="1:17" ht="15.75">
      <c r="A32" s="202"/>
      <c r="B32" s="82"/>
      <c r="C32" s="83"/>
      <c r="D32" s="71" t="s">
        <v>34</v>
      </c>
      <c r="E32" s="72">
        <v>530.72</v>
      </c>
      <c r="F32" s="78">
        <v>42.59287497090761</v>
      </c>
      <c r="G32" s="440"/>
      <c r="H32" s="440"/>
      <c r="I32" s="92">
        <f>H28/100*F32</f>
        <v>8518.574994181521</v>
      </c>
      <c r="J32" s="72"/>
      <c r="K32" s="68"/>
      <c r="L32" s="73"/>
      <c r="M32" s="69"/>
      <c r="N32" s="69"/>
      <c r="O32" s="72">
        <f t="shared" si="0"/>
        <v>8518.574994181521</v>
      </c>
      <c r="P32" s="74"/>
      <c r="Q32" s="72"/>
    </row>
    <row r="33" spans="1:17" ht="15.75">
      <c r="A33" s="84"/>
      <c r="B33" s="85"/>
      <c r="C33" s="85"/>
      <c r="D33" s="71" t="s">
        <v>30</v>
      </c>
      <c r="E33" s="72">
        <v>460.65</v>
      </c>
      <c r="F33" s="78">
        <v>36.96941486160044</v>
      </c>
      <c r="G33" s="441">
        <v>2011</v>
      </c>
      <c r="H33" s="438">
        <v>20000</v>
      </c>
      <c r="I33" s="92">
        <f>H33/100*F33</f>
        <v>7393.882972320088</v>
      </c>
      <c r="J33" s="92"/>
      <c r="K33" s="232"/>
      <c r="L33" s="72"/>
      <c r="M33" s="91"/>
      <c r="N33" s="69"/>
      <c r="O33" s="72">
        <f t="shared" si="0"/>
        <v>7393.882972320088</v>
      </c>
      <c r="P33" s="72"/>
      <c r="Q33" s="73"/>
    </row>
    <row r="34" spans="1:17" ht="15.75">
      <c r="A34" s="84"/>
      <c r="B34" s="85"/>
      <c r="C34" s="85"/>
      <c r="D34" s="71" t="s">
        <v>31</v>
      </c>
      <c r="E34" s="72">
        <v>23.67</v>
      </c>
      <c r="F34" s="78">
        <v>1.8996332351548522</v>
      </c>
      <c r="G34" s="439"/>
      <c r="H34" s="439"/>
      <c r="I34" s="92">
        <f>H33/100*F34</f>
        <v>379.92664703097046</v>
      </c>
      <c r="J34" s="72"/>
      <c r="K34" s="77"/>
      <c r="L34" s="72"/>
      <c r="M34" s="69"/>
      <c r="N34" s="69"/>
      <c r="O34" s="72">
        <f t="shared" si="0"/>
        <v>379.92664703097046</v>
      </c>
      <c r="P34" s="72"/>
      <c r="Q34" s="72"/>
    </row>
    <row r="35" spans="1:17" ht="15.75">
      <c r="A35" s="84"/>
      <c r="B35" s="85"/>
      <c r="C35" s="85"/>
      <c r="D35" s="71" t="s">
        <v>32</v>
      </c>
      <c r="E35" s="72">
        <v>115.68</v>
      </c>
      <c r="F35" s="78">
        <v>9.283885620731445</v>
      </c>
      <c r="G35" s="439"/>
      <c r="H35" s="439"/>
      <c r="I35" s="92">
        <f>H33/100*F35</f>
        <v>1856.777124146289</v>
      </c>
      <c r="J35" s="72"/>
      <c r="K35" s="77"/>
      <c r="L35" s="72"/>
      <c r="M35" s="69"/>
      <c r="N35" s="69"/>
      <c r="O35" s="72">
        <f t="shared" si="0"/>
        <v>1856.777124146289</v>
      </c>
      <c r="P35" s="72"/>
      <c r="Q35" s="72"/>
    </row>
    <row r="36" spans="1:17" ht="15.75">
      <c r="A36" s="84"/>
      <c r="B36" s="85"/>
      <c r="C36" s="85"/>
      <c r="D36" s="71" t="s">
        <v>33</v>
      </c>
      <c r="E36" s="72">
        <v>115.31</v>
      </c>
      <c r="F36" s="78">
        <v>9.254191311605659</v>
      </c>
      <c r="G36" s="439"/>
      <c r="H36" s="439"/>
      <c r="I36" s="92">
        <f>H33/100*F36</f>
        <v>1850.8382623211319</v>
      </c>
      <c r="J36" s="72"/>
      <c r="K36" s="77"/>
      <c r="L36" s="72"/>
      <c r="M36" s="69"/>
      <c r="N36" s="69"/>
      <c r="O36" s="72">
        <f t="shared" si="0"/>
        <v>1850.8382623211319</v>
      </c>
      <c r="P36" s="72"/>
      <c r="Q36" s="72"/>
    </row>
    <row r="37" spans="1:17" ht="15.75">
      <c r="A37" s="121"/>
      <c r="B37" s="89"/>
      <c r="C37" s="89"/>
      <c r="D37" s="71" t="s">
        <v>34</v>
      </c>
      <c r="E37" s="72">
        <v>530.72</v>
      </c>
      <c r="F37" s="78">
        <v>42.59287497090761</v>
      </c>
      <c r="G37" s="440"/>
      <c r="H37" s="440"/>
      <c r="I37" s="92">
        <f>H33/100*F37</f>
        <v>8518.574994181521</v>
      </c>
      <c r="J37" s="72"/>
      <c r="K37" s="77"/>
      <c r="L37" s="72"/>
      <c r="M37" s="69"/>
      <c r="N37" s="69"/>
      <c r="O37" s="72">
        <f t="shared" si="0"/>
        <v>8518.574994181521</v>
      </c>
      <c r="P37" s="72"/>
      <c r="Q37" s="72"/>
    </row>
    <row r="38" spans="1:17" ht="15.75">
      <c r="A38" s="201" t="s">
        <v>29</v>
      </c>
      <c r="B38" s="101"/>
      <c r="C38" s="101"/>
      <c r="D38" s="71" t="s">
        <v>30</v>
      </c>
      <c r="E38" s="72">
        <v>460.65</v>
      </c>
      <c r="F38" s="78">
        <v>36.96941486160044</v>
      </c>
      <c r="G38" s="441">
        <v>2012</v>
      </c>
      <c r="H38" s="438">
        <v>23333</v>
      </c>
      <c r="I38" s="92">
        <f>H38/100*F38</f>
        <v>8626.073569657232</v>
      </c>
      <c r="J38" s="92"/>
      <c r="K38" s="232"/>
      <c r="L38" s="72"/>
      <c r="M38" s="91"/>
      <c r="N38" s="69"/>
      <c r="O38" s="72">
        <f t="shared" si="0"/>
        <v>8626.073569657232</v>
      </c>
      <c r="P38" s="72"/>
      <c r="Q38" s="73"/>
    </row>
    <row r="39" spans="1:17" ht="15.75">
      <c r="A39" s="84"/>
      <c r="B39" s="85"/>
      <c r="C39" s="85"/>
      <c r="D39" s="71" t="s">
        <v>31</v>
      </c>
      <c r="E39" s="72">
        <v>23.67</v>
      </c>
      <c r="F39" s="78">
        <v>1.8996332351548522</v>
      </c>
      <c r="G39" s="439"/>
      <c r="H39" s="439"/>
      <c r="I39" s="92">
        <f>H38/100*F39</f>
        <v>443.24142275868167</v>
      </c>
      <c r="J39" s="72"/>
      <c r="K39" s="77"/>
      <c r="L39" s="72"/>
      <c r="M39" s="69"/>
      <c r="N39" s="69"/>
      <c r="O39" s="72">
        <f t="shared" si="0"/>
        <v>443.24142275868167</v>
      </c>
      <c r="P39" s="72"/>
      <c r="Q39" s="72"/>
    </row>
    <row r="40" spans="1:17" ht="15.75">
      <c r="A40" s="84"/>
      <c r="B40" s="85"/>
      <c r="C40" s="85"/>
      <c r="D40" s="71" t="s">
        <v>32</v>
      </c>
      <c r="E40" s="72">
        <v>115.68</v>
      </c>
      <c r="F40" s="78">
        <v>9.283885620731445</v>
      </c>
      <c r="G40" s="439"/>
      <c r="H40" s="439"/>
      <c r="I40" s="92">
        <f>H38/100*F40</f>
        <v>2166.209031885268</v>
      </c>
      <c r="J40" s="72"/>
      <c r="K40" s="77"/>
      <c r="L40" s="72"/>
      <c r="M40" s="69"/>
      <c r="N40" s="69"/>
      <c r="O40" s="72">
        <f t="shared" si="0"/>
        <v>2166.209031885268</v>
      </c>
      <c r="P40" s="72"/>
      <c r="Q40" s="72"/>
    </row>
    <row r="41" spans="1:17" ht="15.75">
      <c r="A41" s="84"/>
      <c r="B41" s="85"/>
      <c r="C41" s="85"/>
      <c r="D41" s="71" t="s">
        <v>33</v>
      </c>
      <c r="E41" s="72">
        <v>115.31</v>
      </c>
      <c r="F41" s="78">
        <v>9.254191311605659</v>
      </c>
      <c r="G41" s="439"/>
      <c r="H41" s="439"/>
      <c r="I41" s="92">
        <f>H38/100*F41</f>
        <v>2159.2804587369487</v>
      </c>
      <c r="J41" s="72"/>
      <c r="K41" s="77"/>
      <c r="L41" s="72"/>
      <c r="M41" s="69"/>
      <c r="N41" s="69"/>
      <c r="O41" s="72">
        <f t="shared" si="0"/>
        <v>2159.2804587369487</v>
      </c>
      <c r="P41" s="72"/>
      <c r="Q41" s="72"/>
    </row>
    <row r="42" spans="1:17" ht="15.75">
      <c r="A42" s="84"/>
      <c r="B42" s="85"/>
      <c r="C42" s="85"/>
      <c r="D42" s="71" t="s">
        <v>34</v>
      </c>
      <c r="E42" s="72">
        <v>530.72</v>
      </c>
      <c r="F42" s="78">
        <v>42.59287497090761</v>
      </c>
      <c r="G42" s="440"/>
      <c r="H42" s="440"/>
      <c r="I42" s="92">
        <f>H38/100*F42</f>
        <v>9938.195516961872</v>
      </c>
      <c r="J42" s="72"/>
      <c r="K42" s="77"/>
      <c r="L42" s="72"/>
      <c r="M42" s="69"/>
      <c r="N42" s="69"/>
      <c r="O42" s="72">
        <f t="shared" si="0"/>
        <v>9938.195516961872</v>
      </c>
      <c r="P42" s="72"/>
      <c r="Q42" s="72"/>
    </row>
    <row r="43" spans="1:17" ht="15.75">
      <c r="A43" s="84"/>
      <c r="B43" s="85"/>
      <c r="C43" s="85"/>
      <c r="D43" s="138" t="s">
        <v>30</v>
      </c>
      <c r="E43" s="122">
        <v>460.65</v>
      </c>
      <c r="F43" s="126">
        <v>36.96941486160044</v>
      </c>
      <c r="G43" s="441">
        <v>2013</v>
      </c>
      <c r="H43" s="438">
        <v>30000</v>
      </c>
      <c r="I43" s="92">
        <f>H43/100*F43</f>
        <v>11090.824458480132</v>
      </c>
      <c r="J43" s="92"/>
      <c r="K43" s="232"/>
      <c r="L43" s="72"/>
      <c r="M43" s="91"/>
      <c r="N43" s="69"/>
      <c r="O43" s="72">
        <f t="shared" si="0"/>
        <v>11090.824458480132</v>
      </c>
      <c r="P43" s="72"/>
      <c r="Q43" s="73"/>
    </row>
    <row r="44" spans="1:17" ht="15.75">
      <c r="A44" s="86"/>
      <c r="B44" s="85"/>
      <c r="C44" s="87"/>
      <c r="D44" s="138" t="s">
        <v>31</v>
      </c>
      <c r="E44" s="122">
        <v>23.67</v>
      </c>
      <c r="F44" s="126">
        <v>1.8996332351548522</v>
      </c>
      <c r="G44" s="442"/>
      <c r="H44" s="439"/>
      <c r="I44" s="92">
        <f>H43/100*F44</f>
        <v>569.8899705464556</v>
      </c>
      <c r="J44" s="72"/>
      <c r="K44" s="77"/>
      <c r="L44" s="72"/>
      <c r="M44" s="69"/>
      <c r="N44" s="69"/>
      <c r="O44" s="72">
        <f t="shared" si="0"/>
        <v>569.8899705464556</v>
      </c>
      <c r="P44" s="72"/>
      <c r="Q44" s="72"/>
    </row>
    <row r="45" spans="1:17" ht="15.75">
      <c r="A45" s="86"/>
      <c r="B45" s="85"/>
      <c r="C45" s="87"/>
      <c r="D45" s="138" t="s">
        <v>32</v>
      </c>
      <c r="E45" s="122">
        <v>115.68</v>
      </c>
      <c r="F45" s="126">
        <v>9.283885620731445</v>
      </c>
      <c r="G45" s="442"/>
      <c r="H45" s="439"/>
      <c r="I45" s="92">
        <f>H43/100*F45</f>
        <v>2785.1656862194336</v>
      </c>
      <c r="J45" s="72"/>
      <c r="K45" s="77"/>
      <c r="L45" s="72"/>
      <c r="M45" s="69"/>
      <c r="N45" s="69"/>
      <c r="O45" s="72">
        <f t="shared" si="0"/>
        <v>2785.1656862194336</v>
      </c>
      <c r="P45" s="72"/>
      <c r="Q45" s="72"/>
    </row>
    <row r="46" spans="1:17" ht="15.75">
      <c r="A46" s="86"/>
      <c r="B46" s="85"/>
      <c r="C46" s="87"/>
      <c r="D46" s="138" t="s">
        <v>33</v>
      </c>
      <c r="E46" s="122">
        <v>115.31</v>
      </c>
      <c r="F46" s="126">
        <v>9.254191311605659</v>
      </c>
      <c r="G46" s="442"/>
      <c r="H46" s="439"/>
      <c r="I46" s="92">
        <f>H43/100*F46</f>
        <v>2776.257393481698</v>
      </c>
      <c r="J46" s="72"/>
      <c r="K46" s="77"/>
      <c r="L46" s="72"/>
      <c r="M46" s="69"/>
      <c r="N46" s="69"/>
      <c r="O46" s="72">
        <f t="shared" si="0"/>
        <v>2776.257393481698</v>
      </c>
      <c r="P46" s="72"/>
      <c r="Q46" s="72"/>
    </row>
    <row r="47" spans="1:17" ht="15.75">
      <c r="A47" s="88"/>
      <c r="B47" s="89"/>
      <c r="C47" s="90"/>
      <c r="D47" s="138" t="s">
        <v>34</v>
      </c>
      <c r="E47" s="122">
        <v>530.72</v>
      </c>
      <c r="F47" s="126">
        <v>42.59287497090761</v>
      </c>
      <c r="G47" s="443"/>
      <c r="H47" s="440"/>
      <c r="I47" s="92">
        <f>H43/100*F47</f>
        <v>12777.862491272283</v>
      </c>
      <c r="J47" s="72"/>
      <c r="K47" s="23"/>
      <c r="L47" s="72"/>
      <c r="M47" s="69"/>
      <c r="N47" s="69"/>
      <c r="O47" s="72">
        <f t="shared" si="0"/>
        <v>12777.862491272283</v>
      </c>
      <c r="P47" s="72"/>
      <c r="Q47" s="72"/>
    </row>
    <row r="48" spans="1:17" ht="15.75">
      <c r="A48" s="247" t="s">
        <v>29</v>
      </c>
      <c r="B48" s="85"/>
      <c r="C48" s="85"/>
      <c r="D48" s="138" t="s">
        <v>30</v>
      </c>
      <c r="E48" s="233">
        <v>460.65</v>
      </c>
      <c r="F48" s="126">
        <v>36.96941486160044</v>
      </c>
      <c r="G48" s="441">
        <v>2014</v>
      </c>
      <c r="H48" s="438">
        <v>30000</v>
      </c>
      <c r="I48" s="92">
        <f>H48/100*F48</f>
        <v>11090.824458480132</v>
      </c>
      <c r="J48" s="92"/>
      <c r="K48" s="232"/>
      <c r="L48" s="226"/>
      <c r="M48" s="91"/>
      <c r="N48" s="69"/>
      <c r="O48" s="226">
        <f aca="true" t="shared" si="1" ref="O48:O57">I48-J48</f>
        <v>11090.824458480132</v>
      </c>
      <c r="P48" s="226"/>
      <c r="Q48" s="73"/>
    </row>
    <row r="49" spans="1:17" ht="15.75">
      <c r="A49" s="86"/>
      <c r="B49" s="85"/>
      <c r="C49" s="87"/>
      <c r="D49" s="138" t="s">
        <v>31</v>
      </c>
      <c r="E49" s="233">
        <v>23.67</v>
      </c>
      <c r="F49" s="126">
        <v>1.8996332351548522</v>
      </c>
      <c r="G49" s="442"/>
      <c r="H49" s="439"/>
      <c r="I49" s="92">
        <f>H48/100*F49</f>
        <v>569.8899705464556</v>
      </c>
      <c r="J49" s="226"/>
      <c r="K49" s="77"/>
      <c r="L49" s="226"/>
      <c r="M49" s="69"/>
      <c r="N49" s="69"/>
      <c r="O49" s="226">
        <f t="shared" si="1"/>
        <v>569.8899705464556</v>
      </c>
      <c r="P49" s="226"/>
      <c r="Q49" s="226"/>
    </row>
    <row r="50" spans="1:17" ht="15.75">
      <c r="A50" s="86"/>
      <c r="B50" s="85"/>
      <c r="C50" s="87"/>
      <c r="D50" s="138" t="s">
        <v>32</v>
      </c>
      <c r="E50" s="233">
        <v>115.68</v>
      </c>
      <c r="F50" s="126">
        <v>9.283885620731445</v>
      </c>
      <c r="G50" s="442"/>
      <c r="H50" s="439"/>
      <c r="I50" s="92">
        <f>H48/100*F50</f>
        <v>2785.1656862194336</v>
      </c>
      <c r="J50" s="226"/>
      <c r="K50" s="77"/>
      <c r="L50" s="226"/>
      <c r="M50" s="69"/>
      <c r="N50" s="69"/>
      <c r="O50" s="226">
        <f t="shared" si="1"/>
        <v>2785.1656862194336</v>
      </c>
      <c r="P50" s="226"/>
      <c r="Q50" s="226"/>
    </row>
    <row r="51" spans="1:17" ht="15.75">
      <c r="A51" s="86"/>
      <c r="B51" s="85"/>
      <c r="C51" s="87"/>
      <c r="D51" s="138" t="s">
        <v>33</v>
      </c>
      <c r="E51" s="233">
        <v>115.31</v>
      </c>
      <c r="F51" s="126">
        <v>9.254191311605659</v>
      </c>
      <c r="G51" s="442"/>
      <c r="H51" s="439"/>
      <c r="I51" s="92">
        <f>H48/100*F51</f>
        <v>2776.257393481698</v>
      </c>
      <c r="J51" s="226"/>
      <c r="K51" s="77"/>
      <c r="L51" s="226"/>
      <c r="M51" s="69"/>
      <c r="N51" s="69"/>
      <c r="O51" s="226">
        <f t="shared" si="1"/>
        <v>2776.257393481698</v>
      </c>
      <c r="P51" s="226"/>
      <c r="Q51" s="226"/>
    </row>
    <row r="52" spans="1:17" ht="15.75">
      <c r="A52" s="88"/>
      <c r="B52" s="89"/>
      <c r="C52" s="90"/>
      <c r="D52" s="138" t="s">
        <v>34</v>
      </c>
      <c r="E52" s="233">
        <v>530.72</v>
      </c>
      <c r="F52" s="126">
        <v>42.59287497090761</v>
      </c>
      <c r="G52" s="443"/>
      <c r="H52" s="440"/>
      <c r="I52" s="92">
        <f>H48/100*F52</f>
        <v>12777.862491272283</v>
      </c>
      <c r="J52" s="226"/>
      <c r="K52" s="23"/>
      <c r="L52" s="226"/>
      <c r="M52" s="69"/>
      <c r="N52" s="69"/>
      <c r="O52" s="226">
        <f t="shared" si="1"/>
        <v>12777.862491272283</v>
      </c>
      <c r="P52" s="226"/>
      <c r="Q52" s="226"/>
    </row>
    <row r="53" spans="1:17" ht="15.75">
      <c r="A53" s="321" t="s">
        <v>29</v>
      </c>
      <c r="B53" s="85"/>
      <c r="C53" s="85"/>
      <c r="D53" s="138" t="s">
        <v>30</v>
      </c>
      <c r="E53" s="233">
        <v>460.65</v>
      </c>
      <c r="F53" s="126">
        <v>36.96941486160044</v>
      </c>
      <c r="G53" s="441">
        <v>2015</v>
      </c>
      <c r="H53" s="438">
        <v>30000</v>
      </c>
      <c r="I53" s="92">
        <f>H53/100*F53</f>
        <v>11090.824458480132</v>
      </c>
      <c r="J53" s="92"/>
      <c r="K53" s="232"/>
      <c r="L53" s="226"/>
      <c r="M53" s="91"/>
      <c r="N53" s="69"/>
      <c r="O53" s="226">
        <f t="shared" si="1"/>
        <v>11090.824458480132</v>
      </c>
      <c r="P53" s="226"/>
      <c r="Q53" s="73"/>
    </row>
    <row r="54" spans="1:17" ht="15.75">
      <c r="A54" s="86"/>
      <c r="B54" s="85"/>
      <c r="C54" s="87"/>
      <c r="D54" s="138" t="s">
        <v>31</v>
      </c>
      <c r="E54" s="233">
        <v>23.67</v>
      </c>
      <c r="F54" s="126">
        <v>1.8996332351548522</v>
      </c>
      <c r="G54" s="442"/>
      <c r="H54" s="439"/>
      <c r="I54" s="92">
        <f>H53/100*F54</f>
        <v>569.8899705464556</v>
      </c>
      <c r="J54" s="226"/>
      <c r="K54" s="77"/>
      <c r="L54" s="226"/>
      <c r="M54" s="69"/>
      <c r="N54" s="69"/>
      <c r="O54" s="226">
        <f t="shared" si="1"/>
        <v>569.8899705464556</v>
      </c>
      <c r="P54" s="226"/>
      <c r="Q54" s="226"/>
    </row>
    <row r="55" spans="1:17" ht="15.75">
      <c r="A55" s="86"/>
      <c r="B55" s="85"/>
      <c r="C55" s="87"/>
      <c r="D55" s="138" t="s">
        <v>32</v>
      </c>
      <c r="E55" s="233">
        <v>115.68</v>
      </c>
      <c r="F55" s="126">
        <v>9.283885620731445</v>
      </c>
      <c r="G55" s="442"/>
      <c r="H55" s="439"/>
      <c r="I55" s="92">
        <f>H53/100*F55</f>
        <v>2785.1656862194336</v>
      </c>
      <c r="J55" s="226"/>
      <c r="K55" s="77"/>
      <c r="L55" s="226"/>
      <c r="M55" s="69"/>
      <c r="N55" s="69"/>
      <c r="O55" s="226">
        <f t="shared" si="1"/>
        <v>2785.1656862194336</v>
      </c>
      <c r="P55" s="226"/>
      <c r="Q55" s="226"/>
    </row>
    <row r="56" spans="1:17" ht="15.75">
      <c r="A56" s="86"/>
      <c r="B56" s="85"/>
      <c r="C56" s="87"/>
      <c r="D56" s="138" t="s">
        <v>33</v>
      </c>
      <c r="E56" s="233">
        <v>115.31</v>
      </c>
      <c r="F56" s="126">
        <v>9.254191311605659</v>
      </c>
      <c r="G56" s="442"/>
      <c r="H56" s="439"/>
      <c r="I56" s="92">
        <f>H53/100*F56</f>
        <v>2776.257393481698</v>
      </c>
      <c r="J56" s="226"/>
      <c r="K56" s="77"/>
      <c r="L56" s="226"/>
      <c r="M56" s="69"/>
      <c r="N56" s="69"/>
      <c r="O56" s="226">
        <f t="shared" si="1"/>
        <v>2776.257393481698</v>
      </c>
      <c r="P56" s="226"/>
      <c r="Q56" s="226"/>
    </row>
    <row r="57" spans="1:17" ht="15.75">
      <c r="A57" s="88"/>
      <c r="B57" s="89"/>
      <c r="C57" s="90"/>
      <c r="D57" s="138" t="s">
        <v>34</v>
      </c>
      <c r="E57" s="233">
        <v>530.72</v>
      </c>
      <c r="F57" s="126">
        <v>42.59287497090761</v>
      </c>
      <c r="G57" s="443"/>
      <c r="H57" s="440"/>
      <c r="I57" s="92">
        <f>H53/100*F57</f>
        <v>12777.862491272283</v>
      </c>
      <c r="J57" s="226"/>
      <c r="K57" s="23"/>
      <c r="L57" s="226"/>
      <c r="M57" s="69"/>
      <c r="N57" s="69"/>
      <c r="O57" s="226">
        <f t="shared" si="1"/>
        <v>12777.862491272283</v>
      </c>
      <c r="P57" s="226"/>
      <c r="Q57" s="226"/>
    </row>
    <row r="58" spans="1:17" ht="15.75">
      <c r="A58" s="374" t="s">
        <v>29</v>
      </c>
      <c r="B58" s="85"/>
      <c r="C58" s="85"/>
      <c r="D58" s="138" t="s">
        <v>30</v>
      </c>
      <c r="E58" s="233">
        <v>460.65</v>
      </c>
      <c r="F58" s="126">
        <v>36.96941486160044</v>
      </c>
      <c r="G58" s="441">
        <v>2016</v>
      </c>
      <c r="H58" s="438">
        <v>30000</v>
      </c>
      <c r="I58" s="92">
        <f>H58/100*F58</f>
        <v>11090.824458480132</v>
      </c>
      <c r="J58" s="92"/>
      <c r="K58" s="232"/>
      <c r="L58" s="226"/>
      <c r="M58" s="91"/>
      <c r="N58" s="69"/>
      <c r="O58" s="226">
        <f aca="true" t="shared" si="2" ref="O58:O67">I58-J58</f>
        <v>11090.824458480132</v>
      </c>
      <c r="P58" s="226"/>
      <c r="Q58" s="73"/>
    </row>
    <row r="59" spans="1:17" ht="15.75">
      <c r="A59" s="86"/>
      <c r="B59" s="85"/>
      <c r="C59" s="87"/>
      <c r="D59" s="138" t="s">
        <v>31</v>
      </c>
      <c r="E59" s="233">
        <v>23.67</v>
      </c>
      <c r="F59" s="126">
        <v>1.8996332351548522</v>
      </c>
      <c r="G59" s="442"/>
      <c r="H59" s="439"/>
      <c r="I59" s="92">
        <f>H58/100*F59</f>
        <v>569.8899705464556</v>
      </c>
      <c r="J59" s="226"/>
      <c r="K59" s="77"/>
      <c r="L59" s="226"/>
      <c r="M59" s="69"/>
      <c r="N59" s="69"/>
      <c r="O59" s="226">
        <f t="shared" si="2"/>
        <v>569.8899705464556</v>
      </c>
      <c r="P59" s="226"/>
      <c r="Q59" s="226"/>
    </row>
    <row r="60" spans="1:17" ht="15.75">
      <c r="A60" s="86"/>
      <c r="B60" s="85"/>
      <c r="C60" s="87"/>
      <c r="D60" s="138" t="s">
        <v>32</v>
      </c>
      <c r="E60" s="233">
        <v>115.68</v>
      </c>
      <c r="F60" s="126">
        <v>9.283885620731445</v>
      </c>
      <c r="G60" s="442"/>
      <c r="H60" s="439"/>
      <c r="I60" s="92">
        <f>H58/100*F60</f>
        <v>2785.1656862194336</v>
      </c>
      <c r="J60" s="226"/>
      <c r="K60" s="77"/>
      <c r="L60" s="226"/>
      <c r="M60" s="69"/>
      <c r="N60" s="69"/>
      <c r="O60" s="226">
        <f t="shared" si="2"/>
        <v>2785.1656862194336</v>
      </c>
      <c r="P60" s="226"/>
      <c r="Q60" s="226"/>
    </row>
    <row r="61" spans="1:17" ht="15.75">
      <c r="A61" s="86"/>
      <c r="B61" s="85"/>
      <c r="C61" s="87"/>
      <c r="D61" s="138" t="s">
        <v>33</v>
      </c>
      <c r="E61" s="233">
        <v>115.31</v>
      </c>
      <c r="F61" s="126">
        <v>9.254191311605659</v>
      </c>
      <c r="G61" s="442"/>
      <c r="H61" s="439"/>
      <c r="I61" s="92">
        <f>H58/100*F61</f>
        <v>2776.257393481698</v>
      </c>
      <c r="J61" s="226"/>
      <c r="K61" s="77"/>
      <c r="L61" s="226"/>
      <c r="M61" s="69"/>
      <c r="N61" s="69"/>
      <c r="O61" s="226">
        <f t="shared" si="2"/>
        <v>2776.257393481698</v>
      </c>
      <c r="P61" s="226"/>
      <c r="Q61" s="226"/>
    </row>
    <row r="62" spans="1:17" ht="15.75">
      <c r="A62" s="88"/>
      <c r="B62" s="89"/>
      <c r="C62" s="90"/>
      <c r="D62" s="138" t="s">
        <v>34</v>
      </c>
      <c r="E62" s="233">
        <v>530.72</v>
      </c>
      <c r="F62" s="126">
        <v>42.59287497090761</v>
      </c>
      <c r="G62" s="443"/>
      <c r="H62" s="440"/>
      <c r="I62" s="92">
        <f>H58/100*F62</f>
        <v>12777.862491272283</v>
      </c>
      <c r="J62" s="226"/>
      <c r="K62" s="23"/>
      <c r="L62" s="226"/>
      <c r="M62" s="69"/>
      <c r="N62" s="69"/>
      <c r="O62" s="226">
        <f t="shared" si="2"/>
        <v>12777.862491272283</v>
      </c>
      <c r="P62" s="226"/>
      <c r="Q62" s="226"/>
    </row>
    <row r="63" spans="1:17" ht="15.75">
      <c r="A63" s="378" t="s">
        <v>29</v>
      </c>
      <c r="B63" s="85"/>
      <c r="C63" s="85"/>
      <c r="D63" s="138" t="s">
        <v>30</v>
      </c>
      <c r="E63" s="233">
        <v>460.65</v>
      </c>
      <c r="F63" s="126">
        <v>36.96941486160044</v>
      </c>
      <c r="G63" s="441">
        <v>2017</v>
      </c>
      <c r="H63" s="438">
        <v>30000</v>
      </c>
      <c r="I63" s="92">
        <f>H63/100*F63</f>
        <v>11090.824458480132</v>
      </c>
      <c r="J63" s="92"/>
      <c r="K63" s="232"/>
      <c r="L63" s="226"/>
      <c r="M63" s="91"/>
      <c r="N63" s="69"/>
      <c r="O63" s="226">
        <f t="shared" si="2"/>
        <v>11090.824458480132</v>
      </c>
      <c r="P63" s="226"/>
      <c r="Q63" s="73"/>
    </row>
    <row r="64" spans="1:17" ht="15.75">
      <c r="A64" s="86"/>
      <c r="B64" s="85"/>
      <c r="C64" s="87"/>
      <c r="D64" s="138" t="s">
        <v>31</v>
      </c>
      <c r="E64" s="233">
        <v>23.67</v>
      </c>
      <c r="F64" s="126">
        <v>1.8996332351548522</v>
      </c>
      <c r="G64" s="442"/>
      <c r="H64" s="439"/>
      <c r="I64" s="92">
        <f>H63/100*F64</f>
        <v>569.8899705464556</v>
      </c>
      <c r="J64" s="226"/>
      <c r="K64" s="77"/>
      <c r="L64" s="226"/>
      <c r="M64" s="69"/>
      <c r="N64" s="69"/>
      <c r="O64" s="226">
        <f t="shared" si="2"/>
        <v>569.8899705464556</v>
      </c>
      <c r="P64" s="226"/>
      <c r="Q64" s="226"/>
    </row>
    <row r="65" spans="1:17" ht="15.75">
      <c r="A65" s="86"/>
      <c r="B65" s="85"/>
      <c r="C65" s="87"/>
      <c r="D65" s="138" t="s">
        <v>32</v>
      </c>
      <c r="E65" s="233">
        <v>115.68</v>
      </c>
      <c r="F65" s="126">
        <v>9.283885620731445</v>
      </c>
      <c r="G65" s="442"/>
      <c r="H65" s="439"/>
      <c r="I65" s="92">
        <f>H63/100*F65</f>
        <v>2785.1656862194336</v>
      </c>
      <c r="J65" s="226"/>
      <c r="K65" s="77"/>
      <c r="L65" s="226"/>
      <c r="M65" s="69"/>
      <c r="N65" s="69"/>
      <c r="O65" s="226">
        <f t="shared" si="2"/>
        <v>2785.1656862194336</v>
      </c>
      <c r="P65" s="226"/>
      <c r="Q65" s="226"/>
    </row>
    <row r="66" spans="1:17" ht="15.75">
      <c r="A66" s="86"/>
      <c r="B66" s="85"/>
      <c r="C66" s="87"/>
      <c r="D66" s="138" t="s">
        <v>33</v>
      </c>
      <c r="E66" s="233">
        <v>115.31</v>
      </c>
      <c r="F66" s="126">
        <v>9.254191311605659</v>
      </c>
      <c r="G66" s="442"/>
      <c r="H66" s="439"/>
      <c r="I66" s="92">
        <f>H63/100*F66</f>
        <v>2776.257393481698</v>
      </c>
      <c r="J66" s="226"/>
      <c r="K66" s="77"/>
      <c r="L66" s="226"/>
      <c r="M66" s="69"/>
      <c r="N66" s="69"/>
      <c r="O66" s="226">
        <f t="shared" si="2"/>
        <v>2776.257393481698</v>
      </c>
      <c r="P66" s="226"/>
      <c r="Q66" s="226"/>
    </row>
    <row r="67" spans="1:17" ht="15.75">
      <c r="A67" s="88"/>
      <c r="B67" s="89"/>
      <c r="C67" s="90"/>
      <c r="D67" s="138" t="s">
        <v>34</v>
      </c>
      <c r="E67" s="233">
        <v>530.72</v>
      </c>
      <c r="F67" s="126">
        <v>42.59287497090761</v>
      </c>
      <c r="G67" s="443"/>
      <c r="H67" s="440"/>
      <c r="I67" s="92">
        <f>H63/100*F67</f>
        <v>12777.862491272283</v>
      </c>
      <c r="J67" s="226"/>
      <c r="K67" s="23"/>
      <c r="L67" s="226"/>
      <c r="M67" s="69"/>
      <c r="N67" s="69"/>
      <c r="O67" s="226">
        <f t="shared" si="2"/>
        <v>12777.862491272283</v>
      </c>
      <c r="P67" s="226"/>
      <c r="Q67" s="226"/>
    </row>
    <row r="68" spans="1:17" ht="15.75">
      <c r="A68" s="387" t="s">
        <v>29</v>
      </c>
      <c r="B68" s="85"/>
      <c r="C68" s="85"/>
      <c r="D68" s="138" t="s">
        <v>30</v>
      </c>
      <c r="E68" s="233">
        <v>460.65</v>
      </c>
      <c r="F68" s="126">
        <v>36.96941486160044</v>
      </c>
      <c r="G68" s="441">
        <v>2018</v>
      </c>
      <c r="H68" s="438">
        <v>30000</v>
      </c>
      <c r="I68" s="92">
        <f>H68/100*F68</f>
        <v>11090.824458480132</v>
      </c>
      <c r="J68" s="92"/>
      <c r="K68" s="232"/>
      <c r="L68" s="226"/>
      <c r="M68" s="91"/>
      <c r="N68" s="69"/>
      <c r="O68" s="226">
        <f aca="true" t="shared" si="3" ref="O68:O77">I68-J68</f>
        <v>11090.824458480132</v>
      </c>
      <c r="P68" s="226"/>
      <c r="Q68" s="73"/>
    </row>
    <row r="69" spans="1:17" ht="15.75">
      <c r="A69" s="86"/>
      <c r="B69" s="85"/>
      <c r="C69" s="87"/>
      <c r="D69" s="138" t="s">
        <v>31</v>
      </c>
      <c r="E69" s="233">
        <v>23.67</v>
      </c>
      <c r="F69" s="126">
        <v>1.8996332351548522</v>
      </c>
      <c r="G69" s="442"/>
      <c r="H69" s="439"/>
      <c r="I69" s="92">
        <f>H68/100*F69</f>
        <v>569.8899705464556</v>
      </c>
      <c r="J69" s="226"/>
      <c r="K69" s="77"/>
      <c r="L69" s="226"/>
      <c r="M69" s="69"/>
      <c r="N69" s="69"/>
      <c r="O69" s="226">
        <f t="shared" si="3"/>
        <v>569.8899705464556</v>
      </c>
      <c r="P69" s="226"/>
      <c r="Q69" s="226"/>
    </row>
    <row r="70" spans="1:17" ht="15.75">
      <c r="A70" s="86"/>
      <c r="B70" s="85"/>
      <c r="C70" s="87"/>
      <c r="D70" s="138" t="s">
        <v>32</v>
      </c>
      <c r="E70" s="233">
        <v>115.68</v>
      </c>
      <c r="F70" s="126">
        <v>9.283885620731445</v>
      </c>
      <c r="G70" s="442"/>
      <c r="H70" s="439"/>
      <c r="I70" s="92">
        <f>H68/100*F70</f>
        <v>2785.1656862194336</v>
      </c>
      <c r="J70" s="226"/>
      <c r="K70" s="77"/>
      <c r="L70" s="226"/>
      <c r="M70" s="69"/>
      <c r="N70" s="69"/>
      <c r="O70" s="226">
        <f t="shared" si="3"/>
        <v>2785.1656862194336</v>
      </c>
      <c r="P70" s="226"/>
      <c r="Q70" s="226"/>
    </row>
    <row r="71" spans="1:17" ht="15.75">
      <c r="A71" s="86"/>
      <c r="B71" s="85"/>
      <c r="C71" s="87"/>
      <c r="D71" s="138" t="s">
        <v>33</v>
      </c>
      <c r="E71" s="233">
        <v>115.31</v>
      </c>
      <c r="F71" s="126">
        <v>9.254191311605659</v>
      </c>
      <c r="G71" s="442"/>
      <c r="H71" s="439"/>
      <c r="I71" s="92">
        <f>H68/100*F71</f>
        <v>2776.257393481698</v>
      </c>
      <c r="J71" s="226"/>
      <c r="K71" s="77"/>
      <c r="L71" s="226"/>
      <c r="M71" s="69"/>
      <c r="N71" s="69"/>
      <c r="O71" s="226">
        <f t="shared" si="3"/>
        <v>2776.257393481698</v>
      </c>
      <c r="P71" s="226"/>
      <c r="Q71" s="226"/>
    </row>
    <row r="72" spans="1:17" ht="15.75">
      <c r="A72" s="88"/>
      <c r="B72" s="89"/>
      <c r="C72" s="90"/>
      <c r="D72" s="138" t="s">
        <v>34</v>
      </c>
      <c r="E72" s="233">
        <v>530.72</v>
      </c>
      <c r="F72" s="126">
        <v>42.59287497090761</v>
      </c>
      <c r="G72" s="443"/>
      <c r="H72" s="440"/>
      <c r="I72" s="92">
        <f>H68/100*F72</f>
        <v>12777.862491272283</v>
      </c>
      <c r="J72" s="226"/>
      <c r="K72" s="23"/>
      <c r="L72" s="226"/>
      <c r="M72" s="69"/>
      <c r="N72" s="69"/>
      <c r="O72" s="226">
        <f t="shared" si="3"/>
        <v>12777.862491272283</v>
      </c>
      <c r="P72" s="226"/>
      <c r="Q72" s="226"/>
    </row>
    <row r="73" spans="1:17" ht="15.75">
      <c r="A73" s="387" t="s">
        <v>29</v>
      </c>
      <c r="B73" s="85"/>
      <c r="C73" s="85"/>
      <c r="D73" s="138" t="s">
        <v>30</v>
      </c>
      <c r="E73" s="233">
        <v>460.65</v>
      </c>
      <c r="F73" s="126">
        <v>36.96941486160044</v>
      </c>
      <c r="G73" s="441">
        <v>2019</v>
      </c>
      <c r="H73" s="438">
        <v>27984</v>
      </c>
      <c r="I73" s="92">
        <f>H73/100*F73</f>
        <v>10345.521054870267</v>
      </c>
      <c r="J73" s="92"/>
      <c r="K73" s="232"/>
      <c r="L73" s="226"/>
      <c r="M73" s="91"/>
      <c r="N73" s="69"/>
      <c r="O73" s="226">
        <f t="shared" si="3"/>
        <v>10345.521054870267</v>
      </c>
      <c r="P73" s="226"/>
      <c r="Q73" s="73"/>
    </row>
    <row r="74" spans="1:17" ht="15.75">
      <c r="A74" s="86"/>
      <c r="B74" s="85"/>
      <c r="C74" s="87"/>
      <c r="D74" s="138" t="s">
        <v>31</v>
      </c>
      <c r="E74" s="233">
        <v>23.67</v>
      </c>
      <c r="F74" s="126">
        <v>1.8996332351548522</v>
      </c>
      <c r="G74" s="442"/>
      <c r="H74" s="439"/>
      <c r="I74" s="92">
        <f>H73/100*F74</f>
        <v>531.5933645257338</v>
      </c>
      <c r="J74" s="226"/>
      <c r="K74" s="77"/>
      <c r="L74" s="226"/>
      <c r="M74" s="69"/>
      <c r="N74" s="69"/>
      <c r="O74" s="226">
        <f t="shared" si="3"/>
        <v>531.5933645257338</v>
      </c>
      <c r="P74" s="226"/>
      <c r="Q74" s="226"/>
    </row>
    <row r="75" spans="1:17" ht="15.75">
      <c r="A75" s="86"/>
      <c r="B75" s="85"/>
      <c r="C75" s="87"/>
      <c r="D75" s="138" t="s">
        <v>32</v>
      </c>
      <c r="E75" s="233">
        <v>115.68</v>
      </c>
      <c r="F75" s="126">
        <v>9.283885620731445</v>
      </c>
      <c r="G75" s="442"/>
      <c r="H75" s="439"/>
      <c r="I75" s="92">
        <f>H73/100*F75</f>
        <v>2598.002552105487</v>
      </c>
      <c r="J75" s="226"/>
      <c r="K75" s="77"/>
      <c r="L75" s="226"/>
      <c r="M75" s="69"/>
      <c r="N75" s="69"/>
      <c r="O75" s="226">
        <f t="shared" si="3"/>
        <v>2598.002552105487</v>
      </c>
      <c r="P75" s="226"/>
      <c r="Q75" s="226"/>
    </row>
    <row r="76" spans="1:17" ht="15.75">
      <c r="A76" s="86"/>
      <c r="B76" s="85"/>
      <c r="C76" s="87"/>
      <c r="D76" s="138" t="s">
        <v>33</v>
      </c>
      <c r="E76" s="233">
        <v>115.31</v>
      </c>
      <c r="F76" s="126">
        <v>9.254191311605659</v>
      </c>
      <c r="G76" s="442"/>
      <c r="H76" s="439"/>
      <c r="I76" s="92">
        <f>H73/100*F76</f>
        <v>2589.692896639727</v>
      </c>
      <c r="J76" s="226"/>
      <c r="K76" s="77"/>
      <c r="L76" s="226"/>
      <c r="M76" s="69"/>
      <c r="N76" s="69"/>
      <c r="O76" s="226">
        <f t="shared" si="3"/>
        <v>2589.692896639727</v>
      </c>
      <c r="P76" s="226"/>
      <c r="Q76" s="226"/>
    </row>
    <row r="77" spans="1:17" ht="15.75">
      <c r="A77" s="88"/>
      <c r="B77" s="89"/>
      <c r="C77" s="90"/>
      <c r="D77" s="138" t="s">
        <v>34</v>
      </c>
      <c r="E77" s="233">
        <v>530.72</v>
      </c>
      <c r="F77" s="126">
        <v>42.59287497090761</v>
      </c>
      <c r="G77" s="443"/>
      <c r="H77" s="440"/>
      <c r="I77" s="92">
        <f>H73/100*F77</f>
        <v>11919.190131858784</v>
      </c>
      <c r="J77" s="226"/>
      <c r="K77" s="23"/>
      <c r="L77" s="226"/>
      <c r="M77" s="69"/>
      <c r="N77" s="69"/>
      <c r="O77" s="226">
        <f t="shared" si="3"/>
        <v>11919.190131858784</v>
      </c>
      <c r="P77" s="226"/>
      <c r="Q77" s="226"/>
    </row>
    <row r="78" spans="1:17" ht="15.75">
      <c r="A78" s="444" t="s">
        <v>27</v>
      </c>
      <c r="B78" s="445"/>
      <c r="C78" s="445"/>
      <c r="D78" s="445"/>
      <c r="E78" s="445"/>
      <c r="F78" s="445"/>
      <c r="G78" s="446"/>
      <c r="H78" s="166">
        <f>SUM(H8:H77)</f>
        <v>351043</v>
      </c>
      <c r="I78" s="166">
        <f>SUM(I8:I77)</f>
        <v>351042.99999999994</v>
      </c>
      <c r="J78" s="116">
        <f>SUM(J8:J57)</f>
        <v>0</v>
      </c>
      <c r="K78" s="117"/>
      <c r="L78" s="116"/>
      <c r="M78" s="118"/>
      <c r="N78" s="118"/>
      <c r="O78" s="116">
        <f>SUM(O8:O77)</f>
        <v>351042.99999999994</v>
      </c>
      <c r="P78" s="110"/>
      <c r="Q78" s="110"/>
    </row>
    <row r="79" ht="15">
      <c r="A79" s="31" t="s">
        <v>110</v>
      </c>
    </row>
    <row r="80" ht="15.75" thickBot="1"/>
    <row r="81" spans="4:12" ht="15">
      <c r="D81" s="400" t="s">
        <v>78</v>
      </c>
      <c r="E81" s="394" t="s">
        <v>75</v>
      </c>
      <c r="F81" s="394"/>
      <c r="G81" s="400"/>
      <c r="H81" s="400"/>
      <c r="I81" s="402" t="s">
        <v>76</v>
      </c>
      <c r="J81" s="404" t="s">
        <v>77</v>
      </c>
      <c r="K81" s="394" t="s">
        <v>79</v>
      </c>
      <c r="L81" s="396" t="s">
        <v>80</v>
      </c>
    </row>
    <row r="82" spans="4:12" ht="15.75" thickBot="1">
      <c r="D82" s="447"/>
      <c r="E82" s="220" t="s">
        <v>81</v>
      </c>
      <c r="F82" s="220" t="s">
        <v>18</v>
      </c>
      <c r="G82" s="447"/>
      <c r="H82" s="447"/>
      <c r="I82" s="448"/>
      <c r="J82" s="449"/>
      <c r="K82" s="452"/>
      <c r="L82" s="453"/>
    </row>
    <row r="83" spans="3:12" ht="31.5">
      <c r="C83" s="219" t="s">
        <v>29</v>
      </c>
      <c r="D83" s="113" t="s">
        <v>30</v>
      </c>
      <c r="E83" s="110">
        <v>460.65</v>
      </c>
      <c r="F83" s="114">
        <v>36.96941486160044</v>
      </c>
      <c r="G83" s="105"/>
      <c r="H83" s="105"/>
      <c r="I83" s="106">
        <f>SUM(I43,I38,I33,I28,I23,I18,I13,I8,I48,I53,I58,I63,I68,I73)</f>
        <v>129778.54301260802</v>
      </c>
      <c r="J83" s="106">
        <f>J23+J28+J33+J38+J43+J48</f>
        <v>0</v>
      </c>
      <c r="K83" s="105"/>
      <c r="L83" s="106">
        <f>I83-J83-K83</f>
        <v>129778.54301260802</v>
      </c>
    </row>
    <row r="84" spans="4:12" ht="15.75">
      <c r="D84" s="113" t="s">
        <v>31</v>
      </c>
      <c r="E84" s="110">
        <v>23.67</v>
      </c>
      <c r="F84" s="114">
        <v>1.8996332351548522</v>
      </c>
      <c r="G84" s="105"/>
      <c r="H84" s="105"/>
      <c r="I84" s="106">
        <f>SUM(I44,I39,I34,I29,I24,I19,I14,I9,I49,I54,I59,I64,I69,I74)</f>
        <v>6668.529497684647</v>
      </c>
      <c r="J84" s="105"/>
      <c r="K84" s="105"/>
      <c r="L84" s="106">
        <f>I84-J84</f>
        <v>6668.529497684647</v>
      </c>
    </row>
    <row r="85" spans="4:12" ht="15.75">
      <c r="D85" s="113" t="s">
        <v>32</v>
      </c>
      <c r="E85" s="110">
        <v>115.68</v>
      </c>
      <c r="F85" s="114">
        <v>9.283885620731445</v>
      </c>
      <c r="G85" s="105"/>
      <c r="H85" s="105"/>
      <c r="I85" s="106">
        <f>SUM(I45,I40,I35,I30,I25,I20,I15,I10,I50,I55,I60,I65,I70,I75)</f>
        <v>32590.43059958428</v>
      </c>
      <c r="J85" s="105"/>
      <c r="K85" s="105"/>
      <c r="L85" s="106">
        <f>I85-J85</f>
        <v>32590.43059958428</v>
      </c>
    </row>
    <row r="86" spans="4:12" ht="15.75">
      <c r="D86" s="113" t="s">
        <v>33</v>
      </c>
      <c r="E86" s="110">
        <v>115.31</v>
      </c>
      <c r="F86" s="114">
        <v>9.254191311605659</v>
      </c>
      <c r="G86" s="105"/>
      <c r="H86" s="105"/>
      <c r="I86" s="106">
        <f>SUM(I46,I41,I36,I31,I26,I21,I16,I11,I51,I56,I61,I66,I71,I76)</f>
        <v>32486.190805999857</v>
      </c>
      <c r="J86" s="105"/>
      <c r="K86" s="105"/>
      <c r="L86" s="106">
        <f>I86-J86</f>
        <v>32486.190805999857</v>
      </c>
    </row>
    <row r="87" spans="4:12" ht="15.75">
      <c r="D87" s="113" t="s">
        <v>34</v>
      </c>
      <c r="E87" s="110">
        <v>530.72</v>
      </c>
      <c r="F87" s="114">
        <v>42.59287497090761</v>
      </c>
      <c r="G87" s="105"/>
      <c r="H87" s="105"/>
      <c r="I87" s="106">
        <f>SUM(I47,I42,I37,I32,I27,I22,I17,I12,I52,I57,I62,I67,I72,I77)</f>
        <v>149519.3060841232</v>
      </c>
      <c r="J87" s="105"/>
      <c r="K87" s="105"/>
      <c r="L87" s="106">
        <f>I87-J87</f>
        <v>149519.3060841232</v>
      </c>
    </row>
    <row r="88" spans="1:12" ht="15">
      <c r="A88" t="s">
        <v>69</v>
      </c>
      <c r="I88" s="38"/>
      <c r="J88" s="199">
        <v>40000</v>
      </c>
      <c r="L88" s="38"/>
    </row>
    <row r="89" spans="4:12" ht="15.75">
      <c r="D89" s="197" t="s">
        <v>27</v>
      </c>
      <c r="E89" s="197"/>
      <c r="F89" s="197"/>
      <c r="G89" s="197"/>
      <c r="H89" s="197"/>
      <c r="I89" s="198">
        <f>SUM(I83:I88)</f>
        <v>351043</v>
      </c>
      <c r="J89" s="198">
        <f>SUM(J83:J88)</f>
        <v>40000</v>
      </c>
      <c r="K89" s="197"/>
      <c r="L89" s="198">
        <f>I89-J89</f>
        <v>311043</v>
      </c>
    </row>
  </sheetData>
  <sheetProtection/>
  <mergeCells count="57">
    <mergeCell ref="G48:G52"/>
    <mergeCell ref="H48:H52"/>
    <mergeCell ref="M23:M27"/>
    <mergeCell ref="G28:G32"/>
    <mergeCell ref="H28:H32"/>
    <mergeCell ref="G23:G27"/>
    <mergeCell ref="H23:H27"/>
    <mergeCell ref="G18:G22"/>
    <mergeCell ref="H18:H22"/>
    <mergeCell ref="G43:G47"/>
    <mergeCell ref="H43:H47"/>
    <mergeCell ref="G38:G42"/>
    <mergeCell ref="H38:H42"/>
    <mergeCell ref="G33:G37"/>
    <mergeCell ref="H33:H37"/>
    <mergeCell ref="E7:F7"/>
    <mergeCell ref="G8:G12"/>
    <mergeCell ref="H8:H12"/>
    <mergeCell ref="G13:G17"/>
    <mergeCell ref="H13:H17"/>
    <mergeCell ref="J5:J6"/>
    <mergeCell ref="G5:H5"/>
    <mergeCell ref="I5:I6"/>
    <mergeCell ref="A1:Q2"/>
    <mergeCell ref="A4:A6"/>
    <mergeCell ref="B4:B6"/>
    <mergeCell ref="C4:C6"/>
    <mergeCell ref="D4:D6"/>
    <mergeCell ref="E4:F5"/>
    <mergeCell ref="P5:P6"/>
    <mergeCell ref="Q5:Q6"/>
    <mergeCell ref="K5:K6"/>
    <mergeCell ref="G4:Q4"/>
    <mergeCell ref="J81:J82"/>
    <mergeCell ref="M5:M6"/>
    <mergeCell ref="N5:N6"/>
    <mergeCell ref="O5:O6"/>
    <mergeCell ref="L5:L6"/>
    <mergeCell ref="N23:N27"/>
    <mergeCell ref="K81:K82"/>
    <mergeCell ref="L81:L82"/>
    <mergeCell ref="H58:H62"/>
    <mergeCell ref="G63:G67"/>
    <mergeCell ref="G68:G72"/>
    <mergeCell ref="H68:H72"/>
    <mergeCell ref="G73:G77"/>
    <mergeCell ref="I81:I82"/>
    <mergeCell ref="H73:H77"/>
    <mergeCell ref="H63:H67"/>
    <mergeCell ref="G53:G57"/>
    <mergeCell ref="H53:H57"/>
    <mergeCell ref="A78:G78"/>
    <mergeCell ref="D81:D82"/>
    <mergeCell ref="E81:F81"/>
    <mergeCell ref="G81:G82"/>
    <mergeCell ref="H81:H82"/>
    <mergeCell ref="G58:G62"/>
  </mergeCells>
  <printOptions/>
  <pageMargins left="0.45" right="0.95" top="0.75" bottom="0.75" header="0.3" footer="0.3"/>
  <pageSetup fitToHeight="0" fitToWidth="1" horizontalDpi="600" verticalDpi="600" orientation="landscape" paperSize="9" scale="61" r:id="rId1"/>
  <rowBreaks count="2" manualBreakCount="2">
    <brk id="37" max="255" man="1"/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7.57421875" style="0" customWidth="1"/>
    <col min="2" max="2" width="14.57421875" style="0" customWidth="1"/>
    <col min="4" max="4" width="10.57421875" style="0" customWidth="1"/>
    <col min="7" max="7" width="11.57421875" style="0" bestFit="1" customWidth="1"/>
    <col min="10" max="10" width="11.57421875" style="0" bestFit="1" customWidth="1"/>
    <col min="11" max="11" width="32.28125" style="0" customWidth="1"/>
    <col min="12" max="12" width="10.140625" style="0" customWidth="1"/>
    <col min="13" max="13" width="13.421875" style="0" customWidth="1"/>
    <col min="14" max="15" width="10.57421875" style="0" customWidth="1"/>
    <col min="16" max="16" width="10.140625" style="0" customWidth="1"/>
    <col min="17" max="17" width="11.140625" style="0" customWidth="1"/>
  </cols>
  <sheetData>
    <row r="1" spans="1:17" ht="15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7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9" ht="31.5">
      <c r="A8" s="102" t="s">
        <v>36</v>
      </c>
      <c r="B8" s="104" t="s">
        <v>108</v>
      </c>
      <c r="C8" s="70">
        <v>20000</v>
      </c>
      <c r="D8" s="70" t="s">
        <v>35</v>
      </c>
      <c r="E8" s="99">
        <v>357.19</v>
      </c>
      <c r="F8" s="70">
        <v>100</v>
      </c>
      <c r="G8" s="70">
        <v>2005</v>
      </c>
      <c r="H8" s="70">
        <v>13333</v>
      </c>
      <c r="I8" s="93">
        <v>13333</v>
      </c>
      <c r="J8" s="94">
        <v>0</v>
      </c>
      <c r="K8" s="77"/>
      <c r="L8" s="94"/>
      <c r="M8" s="77"/>
      <c r="N8" s="95"/>
      <c r="O8" s="70">
        <f>I8-J8</f>
        <v>13333</v>
      </c>
      <c r="P8" s="6"/>
      <c r="Q8" s="8"/>
      <c r="R8" s="5"/>
      <c r="S8" s="5"/>
    </row>
    <row r="9" spans="1:17" ht="15.75">
      <c r="A9" s="102"/>
      <c r="B9" s="85" t="s">
        <v>107</v>
      </c>
      <c r="C9" s="70">
        <v>20000</v>
      </c>
      <c r="D9" s="70" t="s">
        <v>35</v>
      </c>
      <c r="E9" s="99">
        <v>357.19</v>
      </c>
      <c r="F9" s="70">
        <v>100</v>
      </c>
      <c r="G9" s="70">
        <v>2006</v>
      </c>
      <c r="H9" s="70">
        <v>20000</v>
      </c>
      <c r="I9" s="93">
        <v>20000</v>
      </c>
      <c r="J9" s="94">
        <v>0</v>
      </c>
      <c r="K9" s="77"/>
      <c r="L9" s="94"/>
      <c r="M9" s="77"/>
      <c r="N9" s="95"/>
      <c r="O9" s="70">
        <f>I9-J9</f>
        <v>20000</v>
      </c>
      <c r="P9" s="97"/>
      <c r="Q9" s="70"/>
    </row>
    <row r="10" spans="3:17" ht="15.75">
      <c r="C10" s="70">
        <v>20000</v>
      </c>
      <c r="D10" s="70" t="s">
        <v>35</v>
      </c>
      <c r="E10" s="99">
        <v>357.19</v>
      </c>
      <c r="F10" s="70">
        <v>100</v>
      </c>
      <c r="G10" s="70">
        <v>2007</v>
      </c>
      <c r="H10" s="70">
        <v>20000</v>
      </c>
      <c r="I10" s="93">
        <v>20000</v>
      </c>
      <c r="J10" s="94">
        <v>0</v>
      </c>
      <c r="K10" s="77"/>
      <c r="L10" s="94"/>
      <c r="M10" s="77"/>
      <c r="N10" s="95"/>
      <c r="O10" s="70">
        <f aca="true" t="shared" si="0" ref="O10:O16">I10-J10</f>
        <v>20000</v>
      </c>
      <c r="P10" s="97"/>
      <c r="Q10" s="70"/>
    </row>
    <row r="11" spans="1:17" ht="15.75">
      <c r="A11" s="102"/>
      <c r="B11" s="85"/>
      <c r="C11" s="70">
        <v>20000</v>
      </c>
      <c r="D11" s="70" t="s">
        <v>35</v>
      </c>
      <c r="E11" s="99">
        <v>357.19</v>
      </c>
      <c r="F11" s="70">
        <v>100</v>
      </c>
      <c r="G11" s="70">
        <v>2008</v>
      </c>
      <c r="H11" s="70">
        <v>20000</v>
      </c>
      <c r="I11" s="93">
        <v>20000</v>
      </c>
      <c r="J11" s="94"/>
      <c r="K11" s="77"/>
      <c r="L11" s="94"/>
      <c r="M11" s="77"/>
      <c r="N11" s="95"/>
      <c r="O11" s="70">
        <f t="shared" si="0"/>
        <v>20000</v>
      </c>
      <c r="P11" s="97"/>
      <c r="Q11" s="70"/>
    </row>
    <row r="12" spans="1:17" ht="15.75">
      <c r="A12" s="102"/>
      <c r="B12" s="85"/>
      <c r="C12" s="70">
        <v>20000</v>
      </c>
      <c r="D12" s="70" t="s">
        <v>35</v>
      </c>
      <c r="E12" s="99">
        <v>357.19</v>
      </c>
      <c r="F12" s="70">
        <v>100</v>
      </c>
      <c r="G12" s="70">
        <v>2009</v>
      </c>
      <c r="H12" s="70">
        <v>20000</v>
      </c>
      <c r="I12" s="93">
        <v>20000</v>
      </c>
      <c r="J12" s="299"/>
      <c r="K12" s="245"/>
      <c r="L12" s="94"/>
      <c r="M12" s="77"/>
      <c r="N12" s="95"/>
      <c r="O12" s="70">
        <f t="shared" si="0"/>
        <v>20000</v>
      </c>
      <c r="P12" s="97"/>
      <c r="Q12" s="153"/>
    </row>
    <row r="13" spans="1:17" ht="15.75">
      <c r="A13" s="102"/>
      <c r="B13" s="85"/>
      <c r="C13" s="70">
        <v>20000</v>
      </c>
      <c r="D13" s="70" t="s">
        <v>35</v>
      </c>
      <c r="E13" s="99">
        <v>357.19</v>
      </c>
      <c r="F13" s="70">
        <v>100</v>
      </c>
      <c r="G13" s="70">
        <v>2010</v>
      </c>
      <c r="H13" s="70">
        <v>20000</v>
      </c>
      <c r="I13" s="93">
        <v>20000</v>
      </c>
      <c r="J13" s="299"/>
      <c r="K13" s="245"/>
      <c r="L13" s="94"/>
      <c r="M13" s="91"/>
      <c r="N13" s="124"/>
      <c r="O13" s="70">
        <f t="shared" si="0"/>
        <v>20000</v>
      </c>
      <c r="P13" s="97"/>
      <c r="Q13" s="153"/>
    </row>
    <row r="14" spans="1:17" ht="15.75">
      <c r="A14" s="102"/>
      <c r="B14" s="85"/>
      <c r="C14" s="70">
        <v>20000</v>
      </c>
      <c r="D14" s="70" t="s">
        <v>35</v>
      </c>
      <c r="E14" s="99">
        <v>357.19</v>
      </c>
      <c r="F14" s="70">
        <v>100</v>
      </c>
      <c r="G14" s="70">
        <v>2011</v>
      </c>
      <c r="H14" s="70">
        <v>20000</v>
      </c>
      <c r="I14" s="93">
        <v>20000</v>
      </c>
      <c r="J14" s="299"/>
      <c r="K14" s="245"/>
      <c r="L14" s="94"/>
      <c r="M14" s="91"/>
      <c r="N14" s="124"/>
      <c r="O14" s="70">
        <f t="shared" si="0"/>
        <v>20000</v>
      </c>
      <c r="P14" s="97"/>
      <c r="Q14" s="153"/>
    </row>
    <row r="15" spans="1:17" ht="63" customHeight="1">
      <c r="A15" s="102"/>
      <c r="B15" s="85"/>
      <c r="C15" s="70">
        <v>20000</v>
      </c>
      <c r="D15" s="70" t="s">
        <v>35</v>
      </c>
      <c r="E15" s="99">
        <v>357.19</v>
      </c>
      <c r="F15" s="70">
        <v>100</v>
      </c>
      <c r="G15" s="70">
        <v>2012</v>
      </c>
      <c r="H15" s="70">
        <v>20000</v>
      </c>
      <c r="I15" s="93">
        <v>20000</v>
      </c>
      <c r="J15" s="299"/>
      <c r="K15" s="454"/>
      <c r="L15" s="94"/>
      <c r="M15" s="454"/>
      <c r="N15" s="124"/>
      <c r="O15" s="70">
        <f t="shared" si="0"/>
        <v>20000</v>
      </c>
      <c r="P15" s="97"/>
      <c r="Q15" s="153"/>
    </row>
    <row r="16" spans="1:17" ht="15.75">
      <c r="A16" s="103"/>
      <c r="B16" s="89"/>
      <c r="C16" s="70">
        <v>20000</v>
      </c>
      <c r="D16" s="70" t="s">
        <v>35</v>
      </c>
      <c r="E16" s="99">
        <v>357.19</v>
      </c>
      <c r="F16" s="70">
        <v>100</v>
      </c>
      <c r="G16" s="70">
        <v>2013</v>
      </c>
      <c r="H16" s="70">
        <v>20000</v>
      </c>
      <c r="I16" s="93">
        <v>20000</v>
      </c>
      <c r="J16" s="299"/>
      <c r="K16" s="455"/>
      <c r="L16" s="94"/>
      <c r="M16" s="455"/>
      <c r="N16" s="95"/>
      <c r="O16" s="70">
        <f t="shared" si="0"/>
        <v>20000</v>
      </c>
      <c r="P16" s="96"/>
      <c r="Q16" s="70"/>
    </row>
    <row r="17" spans="1:17" ht="31.5">
      <c r="A17" s="103"/>
      <c r="B17" s="89"/>
      <c r="C17" s="70">
        <v>20000</v>
      </c>
      <c r="D17" s="70" t="s">
        <v>35</v>
      </c>
      <c r="E17" s="99">
        <v>357.19</v>
      </c>
      <c r="F17" s="70">
        <v>100</v>
      </c>
      <c r="G17" s="153" t="s">
        <v>86</v>
      </c>
      <c r="H17" s="70">
        <v>6667</v>
      </c>
      <c r="I17" s="93">
        <v>6667</v>
      </c>
      <c r="J17" s="299"/>
      <c r="K17" s="456"/>
      <c r="L17" s="94"/>
      <c r="M17" s="456"/>
      <c r="N17" s="95"/>
      <c r="O17" s="70">
        <f>I17-J17</f>
        <v>6667</v>
      </c>
      <c r="P17" s="96"/>
      <c r="Q17" s="70"/>
    </row>
    <row r="18" spans="1:17" s="109" customFormat="1" ht="15.75">
      <c r="A18" s="107"/>
      <c r="B18" s="107"/>
      <c r="C18" s="107"/>
      <c r="D18" s="107" t="s">
        <v>27</v>
      </c>
      <c r="E18" s="107"/>
      <c r="F18" s="107"/>
      <c r="G18" s="107"/>
      <c r="H18" s="107"/>
      <c r="I18" s="108">
        <f>SUM(I8:I17)</f>
        <v>180000</v>
      </c>
      <c r="J18" s="108">
        <f>SUM(J9:J17)</f>
        <v>0</v>
      </c>
      <c r="K18" s="107"/>
      <c r="L18" s="107"/>
      <c r="M18" s="107"/>
      <c r="N18" s="107"/>
      <c r="O18" s="108">
        <f>SUM(O8:O17)</f>
        <v>180000</v>
      </c>
      <c r="P18" s="107"/>
      <c r="Q18" s="107"/>
    </row>
    <row r="19" ht="16.5" thickBot="1">
      <c r="J19" s="305"/>
    </row>
    <row r="20" spans="4:12" ht="15">
      <c r="D20" s="398" t="s">
        <v>78</v>
      </c>
      <c r="E20" s="394" t="s">
        <v>75</v>
      </c>
      <c r="F20" s="394"/>
      <c r="G20" s="400"/>
      <c r="H20" s="400"/>
      <c r="I20" s="402" t="s">
        <v>76</v>
      </c>
      <c r="J20" s="404" t="s">
        <v>77</v>
      </c>
      <c r="K20" s="394" t="s">
        <v>79</v>
      </c>
      <c r="L20" s="396" t="s">
        <v>80</v>
      </c>
    </row>
    <row r="21" spans="4:12" ht="15">
      <c r="D21" s="399"/>
      <c r="E21" s="250" t="s">
        <v>81</v>
      </c>
      <c r="F21" s="250" t="s">
        <v>18</v>
      </c>
      <c r="G21" s="401"/>
      <c r="H21" s="401"/>
      <c r="I21" s="403"/>
      <c r="J21" s="405"/>
      <c r="K21" s="395"/>
      <c r="L21" s="397"/>
    </row>
    <row r="22" spans="4:12" ht="16.5" thickBot="1">
      <c r="D22" s="265" t="s">
        <v>35</v>
      </c>
      <c r="E22" s="266">
        <v>357.19</v>
      </c>
      <c r="F22" s="267">
        <v>100</v>
      </c>
      <c r="G22" s="268"/>
      <c r="H22" s="268"/>
      <c r="I22" s="269">
        <f>I18</f>
        <v>180000</v>
      </c>
      <c r="J22" s="269">
        <f>J18+J19</f>
        <v>0</v>
      </c>
      <c r="K22" s="268"/>
      <c r="L22" s="270">
        <f>I22-J22</f>
        <v>180000</v>
      </c>
    </row>
  </sheetData>
  <sheetProtection/>
  <mergeCells count="28">
    <mergeCell ref="Q5:Q6"/>
    <mergeCell ref="E7:F7"/>
    <mergeCell ref="K5:K6"/>
    <mergeCell ref="L5:L6"/>
    <mergeCell ref="M5:M6"/>
    <mergeCell ref="N5:N6"/>
    <mergeCell ref="O5:O6"/>
    <mergeCell ref="P5:P6"/>
    <mergeCell ref="A1:Q2"/>
    <mergeCell ref="A4:A6"/>
    <mergeCell ref="B4:B6"/>
    <mergeCell ref="C4:C6"/>
    <mergeCell ref="D4:D6"/>
    <mergeCell ref="E4:F5"/>
    <mergeCell ref="G4:Q4"/>
    <mergeCell ref="G5:H5"/>
    <mergeCell ref="I5:I6"/>
    <mergeCell ref="J5:J6"/>
    <mergeCell ref="K15:K17"/>
    <mergeCell ref="M15:M17"/>
    <mergeCell ref="K20:K21"/>
    <mergeCell ref="L20:L21"/>
    <mergeCell ref="D20:D21"/>
    <mergeCell ref="E20:F20"/>
    <mergeCell ref="G20:G21"/>
    <mergeCell ref="H20:H21"/>
    <mergeCell ref="I20:I21"/>
    <mergeCell ref="J20:J21"/>
  </mergeCells>
  <printOptions/>
  <pageMargins left="0.7" right="0.95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90" zoomScaleNormal="90" zoomScalePageLayoutView="0" workbookViewId="0" topLeftCell="A22">
      <selection activeCell="I38" sqref="I38"/>
    </sheetView>
  </sheetViews>
  <sheetFormatPr defaultColWidth="9.140625" defaultRowHeight="15"/>
  <cols>
    <col min="1" max="1" width="17.8515625" style="0" customWidth="1"/>
    <col min="2" max="2" width="9.57421875" style="0" bestFit="1" customWidth="1"/>
    <col min="4" max="4" width="17.8515625" style="0" bestFit="1" customWidth="1"/>
    <col min="6" max="6" width="8.7109375" style="0" bestFit="1" customWidth="1"/>
    <col min="7" max="7" width="16.421875" style="0" bestFit="1" customWidth="1"/>
    <col min="8" max="8" width="12.00390625" style="0" customWidth="1"/>
    <col min="11" max="11" width="28.7109375" style="0" customWidth="1"/>
    <col min="13" max="14" width="13.8515625" style="0" bestFit="1" customWidth="1"/>
    <col min="16" max="16" width="10.140625" style="0" customWidth="1"/>
    <col min="17" max="17" width="12.0039062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01" t="s">
        <v>38</v>
      </c>
      <c r="B8" s="104">
        <v>38838</v>
      </c>
      <c r="C8" s="70">
        <v>20000</v>
      </c>
      <c r="D8" s="72" t="s">
        <v>39</v>
      </c>
      <c r="E8" s="72">
        <v>142.16</v>
      </c>
      <c r="F8" s="78">
        <v>45.211970867919725</v>
      </c>
      <c r="G8" s="465" t="s">
        <v>40</v>
      </c>
      <c r="H8" s="441">
        <v>135000</v>
      </c>
      <c r="I8" s="75">
        <f>H8/100*F8</f>
        <v>61036.16067169163</v>
      </c>
      <c r="J8" s="72"/>
      <c r="K8" s="68"/>
      <c r="L8" s="72"/>
      <c r="M8" s="69"/>
      <c r="N8" s="69"/>
      <c r="O8" s="72">
        <f>I8-J8</f>
        <v>61036.16067169163</v>
      </c>
      <c r="P8" s="74"/>
      <c r="Q8" s="72" t="s">
        <v>23</v>
      </c>
    </row>
    <row r="9" spans="1:17" ht="15.75">
      <c r="A9" s="202"/>
      <c r="B9" s="365">
        <v>47939</v>
      </c>
      <c r="C9" s="70"/>
      <c r="D9" s="72" t="s">
        <v>24</v>
      </c>
      <c r="E9" s="72">
        <v>172.27</v>
      </c>
      <c r="F9" s="120">
        <v>54.788029132080275</v>
      </c>
      <c r="G9" s="466"/>
      <c r="H9" s="440"/>
      <c r="I9" s="75">
        <f>H8/100*F9</f>
        <v>73963.83932830837</v>
      </c>
      <c r="J9" s="72"/>
      <c r="K9" s="68"/>
      <c r="L9" s="72"/>
      <c r="M9" s="69"/>
      <c r="N9" s="69"/>
      <c r="O9" s="72">
        <f aca="true" t="shared" si="0" ref="O9:O25">I9-J9</f>
        <v>73963.83932830837</v>
      </c>
      <c r="P9" s="74"/>
      <c r="Q9" s="72"/>
    </row>
    <row r="10" spans="1:17" ht="15.75">
      <c r="A10" s="84"/>
      <c r="B10" s="85"/>
      <c r="C10" s="70">
        <v>20000</v>
      </c>
      <c r="D10" s="72" t="s">
        <v>39</v>
      </c>
      <c r="E10" s="72">
        <v>142.16</v>
      </c>
      <c r="F10" s="78">
        <v>45.211970867919725</v>
      </c>
      <c r="G10" s="441">
        <v>2006</v>
      </c>
      <c r="H10" s="438">
        <v>20000</v>
      </c>
      <c r="I10" s="75">
        <f>H10/100*F10</f>
        <v>9042.394173583945</v>
      </c>
      <c r="J10" s="72"/>
      <c r="K10" s="77"/>
      <c r="L10" s="72"/>
      <c r="M10" s="69"/>
      <c r="N10" s="69"/>
      <c r="O10" s="72">
        <f t="shared" si="0"/>
        <v>9042.394173583945</v>
      </c>
      <c r="P10" s="71"/>
      <c r="Q10" s="72"/>
    </row>
    <row r="11" spans="1:17" ht="15.75">
      <c r="A11" s="84"/>
      <c r="B11" s="85"/>
      <c r="C11" s="70"/>
      <c r="D11" s="72" t="s">
        <v>24</v>
      </c>
      <c r="E11" s="72">
        <v>172.27</v>
      </c>
      <c r="F11" s="120">
        <v>54.788029132080275</v>
      </c>
      <c r="G11" s="440"/>
      <c r="H11" s="440"/>
      <c r="I11" s="75">
        <f>H10/100*F11</f>
        <v>10957.605826416055</v>
      </c>
      <c r="J11" s="72"/>
      <c r="K11" s="77"/>
      <c r="L11" s="72"/>
      <c r="M11" s="69"/>
      <c r="N11" s="69"/>
      <c r="O11" s="72">
        <f t="shared" si="0"/>
        <v>10957.605826416055</v>
      </c>
      <c r="P11" s="71"/>
      <c r="Q11" s="72"/>
    </row>
    <row r="12" spans="1:17" ht="15.75">
      <c r="A12" s="84"/>
      <c r="B12" s="85"/>
      <c r="C12" s="70">
        <v>20000</v>
      </c>
      <c r="D12" s="72" t="s">
        <v>39</v>
      </c>
      <c r="E12" s="72">
        <v>142.16</v>
      </c>
      <c r="F12" s="78">
        <v>45.211970867919725</v>
      </c>
      <c r="G12" s="441">
        <v>2007</v>
      </c>
      <c r="H12" s="438">
        <v>20000</v>
      </c>
      <c r="I12" s="75">
        <f>H12/100*F12</f>
        <v>9042.394173583945</v>
      </c>
      <c r="J12" s="72"/>
      <c r="K12" s="77"/>
      <c r="L12" s="72"/>
      <c r="M12" s="69"/>
      <c r="N12" s="69"/>
      <c r="O12" s="72">
        <f t="shared" si="0"/>
        <v>9042.394173583945</v>
      </c>
      <c r="P12" s="72"/>
      <c r="Q12" s="72"/>
    </row>
    <row r="13" spans="1:17" ht="15.75">
      <c r="A13" s="84"/>
      <c r="B13" s="85"/>
      <c r="C13" s="70"/>
      <c r="D13" s="72" t="s">
        <v>24</v>
      </c>
      <c r="E13" s="72">
        <v>172.27</v>
      </c>
      <c r="F13" s="120">
        <v>54.788029132080275</v>
      </c>
      <c r="G13" s="440"/>
      <c r="H13" s="440"/>
      <c r="I13" s="75">
        <f>H12/100*F13</f>
        <v>10957.605826416055</v>
      </c>
      <c r="J13" s="72"/>
      <c r="K13" s="77"/>
      <c r="L13" s="72"/>
      <c r="M13" s="69"/>
      <c r="N13" s="69"/>
      <c r="O13" s="72">
        <f t="shared" si="0"/>
        <v>10957.605826416055</v>
      </c>
      <c r="P13" s="72"/>
      <c r="Q13" s="72"/>
    </row>
    <row r="14" spans="1:17" ht="15.75">
      <c r="A14" s="84"/>
      <c r="B14" s="85"/>
      <c r="C14" s="70">
        <v>20000</v>
      </c>
      <c r="D14" s="72" t="s">
        <v>39</v>
      </c>
      <c r="E14" s="72">
        <v>142.16</v>
      </c>
      <c r="F14" s="78">
        <v>45.211970867919725</v>
      </c>
      <c r="G14" s="441">
        <v>2008</v>
      </c>
      <c r="H14" s="438">
        <v>20000</v>
      </c>
      <c r="I14" s="75">
        <f>H14/100*F14</f>
        <v>9042.394173583945</v>
      </c>
      <c r="J14" s="72"/>
      <c r="K14" s="77"/>
      <c r="L14" s="72"/>
      <c r="M14" s="69"/>
      <c r="N14" s="69"/>
      <c r="O14" s="72">
        <f t="shared" si="0"/>
        <v>9042.394173583945</v>
      </c>
      <c r="P14" s="72"/>
      <c r="Q14" s="72"/>
    </row>
    <row r="15" spans="1:17" ht="15.75">
      <c r="A15" s="84"/>
      <c r="B15" s="85"/>
      <c r="C15" s="70"/>
      <c r="D15" s="72" t="s">
        <v>24</v>
      </c>
      <c r="E15" s="72">
        <v>172.27</v>
      </c>
      <c r="F15" s="120">
        <v>54.788029132080275</v>
      </c>
      <c r="G15" s="440"/>
      <c r="H15" s="440"/>
      <c r="I15" s="75">
        <f>H14/100*F15</f>
        <v>10957.605826416055</v>
      </c>
      <c r="J15" s="72"/>
      <c r="K15" s="77"/>
      <c r="L15" s="72"/>
      <c r="M15" s="69"/>
      <c r="N15" s="69"/>
      <c r="O15" s="72">
        <f t="shared" si="0"/>
        <v>10957.605826416055</v>
      </c>
      <c r="P15" s="72"/>
      <c r="Q15" s="72"/>
    </row>
    <row r="16" spans="1:17" ht="15.75">
      <c r="A16" s="84"/>
      <c r="B16" s="85"/>
      <c r="C16" s="70">
        <v>20000</v>
      </c>
      <c r="D16" s="72" t="s">
        <v>39</v>
      </c>
      <c r="E16" s="72">
        <v>142.16</v>
      </c>
      <c r="F16" s="78">
        <v>45.211970867919725</v>
      </c>
      <c r="G16" s="441">
        <v>2009</v>
      </c>
      <c r="H16" s="438">
        <v>20000</v>
      </c>
      <c r="I16" s="75">
        <f>H16/100*F16</f>
        <v>9042.394173583945</v>
      </c>
      <c r="J16" s="72"/>
      <c r="K16" s="77"/>
      <c r="L16" s="72"/>
      <c r="M16" s="69"/>
      <c r="N16" s="69"/>
      <c r="O16" s="72">
        <f t="shared" si="0"/>
        <v>9042.394173583945</v>
      </c>
      <c r="P16" s="72"/>
      <c r="Q16" s="72"/>
    </row>
    <row r="17" spans="1:17" ht="15.75">
      <c r="A17" s="84"/>
      <c r="B17" s="85"/>
      <c r="C17" s="70"/>
      <c r="D17" s="122" t="s">
        <v>24</v>
      </c>
      <c r="E17" s="122">
        <v>172.27</v>
      </c>
      <c r="F17" s="127">
        <v>54.788029132080275</v>
      </c>
      <c r="G17" s="440"/>
      <c r="H17" s="440"/>
      <c r="I17" s="92">
        <f>H16/100*F17</f>
        <v>10957.605826416055</v>
      </c>
      <c r="J17" s="122"/>
      <c r="K17" s="123"/>
      <c r="L17" s="122"/>
      <c r="M17" s="124"/>
      <c r="N17" s="124"/>
      <c r="O17" s="122">
        <f t="shared" si="0"/>
        <v>10957.605826416055</v>
      </c>
      <c r="P17" s="122"/>
      <c r="Q17" s="137"/>
    </row>
    <row r="18" spans="1:17" ht="15.75">
      <c r="A18" s="84"/>
      <c r="B18" s="85"/>
      <c r="C18" s="70">
        <v>20000</v>
      </c>
      <c r="D18" s="72" t="s">
        <v>39</v>
      </c>
      <c r="E18" s="72">
        <v>142.16</v>
      </c>
      <c r="F18" s="78">
        <v>45.211970867919725</v>
      </c>
      <c r="G18" s="441">
        <v>2010</v>
      </c>
      <c r="H18" s="438">
        <v>20000</v>
      </c>
      <c r="I18" s="92">
        <f>H18/100*F18</f>
        <v>9042.394173583945</v>
      </c>
      <c r="J18" s="233"/>
      <c r="K18" s="301"/>
      <c r="L18" s="72"/>
      <c r="M18" s="300"/>
      <c r="N18" s="124"/>
      <c r="O18" s="72">
        <f t="shared" si="0"/>
        <v>9042.394173583945</v>
      </c>
      <c r="P18" s="72"/>
      <c r="Q18" s="137"/>
    </row>
    <row r="19" spans="1:17" ht="15.75">
      <c r="A19" s="84"/>
      <c r="B19" s="85"/>
      <c r="C19" s="70"/>
      <c r="D19" s="72" t="s">
        <v>24</v>
      </c>
      <c r="E19" s="72">
        <v>172.27</v>
      </c>
      <c r="F19" s="120">
        <v>54.788029132080275</v>
      </c>
      <c r="G19" s="440"/>
      <c r="H19" s="440"/>
      <c r="I19" s="75">
        <f>H18/100*F19</f>
        <v>10957.605826416055</v>
      </c>
      <c r="J19" s="72"/>
      <c r="K19" s="77"/>
      <c r="L19" s="72"/>
      <c r="M19" s="300"/>
      <c r="N19" s="69"/>
      <c r="O19" s="72">
        <f t="shared" si="0"/>
        <v>10957.605826416055</v>
      </c>
      <c r="P19" s="72"/>
      <c r="Q19" s="72"/>
    </row>
    <row r="20" spans="1:17" ht="15.75">
      <c r="A20" s="84"/>
      <c r="B20" s="85"/>
      <c r="C20" s="70">
        <v>20000</v>
      </c>
      <c r="D20" s="72" t="s">
        <v>39</v>
      </c>
      <c r="E20" s="72">
        <v>142.16</v>
      </c>
      <c r="F20" s="78">
        <v>45.211970867919725</v>
      </c>
      <c r="G20" s="441">
        <v>2011</v>
      </c>
      <c r="H20" s="438">
        <v>20000</v>
      </c>
      <c r="I20" s="75">
        <f>H20/100*F20</f>
        <v>9042.394173583945</v>
      </c>
      <c r="J20" s="72"/>
      <c r="K20" s="301"/>
      <c r="L20" s="72"/>
      <c r="M20" s="300"/>
      <c r="N20" s="124"/>
      <c r="O20" s="72">
        <f t="shared" si="0"/>
        <v>9042.394173583945</v>
      </c>
      <c r="P20" s="72"/>
      <c r="Q20" s="137"/>
    </row>
    <row r="21" spans="1:17" ht="15.75">
      <c r="A21" s="84"/>
      <c r="B21" s="85"/>
      <c r="C21" s="70"/>
      <c r="D21" s="72" t="s">
        <v>24</v>
      </c>
      <c r="E21" s="72">
        <v>172.27</v>
      </c>
      <c r="F21" s="120">
        <v>54.788029132080275</v>
      </c>
      <c r="G21" s="440"/>
      <c r="H21" s="440"/>
      <c r="I21" s="75">
        <f>H20/100*F21</f>
        <v>10957.605826416055</v>
      </c>
      <c r="J21" s="72"/>
      <c r="K21" s="77"/>
      <c r="L21" s="72"/>
      <c r="M21" s="69"/>
      <c r="N21" s="69"/>
      <c r="O21" s="72">
        <f t="shared" si="0"/>
        <v>10957.605826416055</v>
      </c>
      <c r="P21" s="72"/>
      <c r="Q21" s="72"/>
    </row>
    <row r="22" spans="1:17" ht="15.75">
      <c r="A22" s="84"/>
      <c r="B22" s="85"/>
      <c r="C22" s="70">
        <v>20000</v>
      </c>
      <c r="D22" s="72" t="s">
        <v>39</v>
      </c>
      <c r="E22" s="72">
        <v>142.16</v>
      </c>
      <c r="F22" s="78">
        <v>45.211970867919725</v>
      </c>
      <c r="G22" s="441">
        <v>2012</v>
      </c>
      <c r="H22" s="438">
        <v>20000</v>
      </c>
      <c r="I22" s="75">
        <f>H22/100*F22</f>
        <v>9042.394173583945</v>
      </c>
      <c r="J22" s="72"/>
      <c r="K22" s="77"/>
      <c r="L22" s="72"/>
      <c r="M22" s="300"/>
      <c r="N22" s="69"/>
      <c r="O22" s="226">
        <f t="shared" si="0"/>
        <v>9042.394173583945</v>
      </c>
      <c r="P22" s="72"/>
      <c r="Q22" s="137"/>
    </row>
    <row r="23" spans="1:17" ht="15.75">
      <c r="A23" s="84"/>
      <c r="B23" s="85"/>
      <c r="C23" s="70"/>
      <c r="D23" s="72" t="s">
        <v>24</v>
      </c>
      <c r="E23" s="72">
        <v>172.27</v>
      </c>
      <c r="F23" s="120">
        <v>54.788029132080275</v>
      </c>
      <c r="G23" s="440"/>
      <c r="H23" s="440"/>
      <c r="I23" s="75">
        <f>H22/100*F23</f>
        <v>10957.605826416055</v>
      </c>
      <c r="J23" s="72"/>
      <c r="K23" s="77"/>
      <c r="L23" s="72"/>
      <c r="M23" s="69"/>
      <c r="N23" s="69"/>
      <c r="O23" s="72">
        <f t="shared" si="0"/>
        <v>10957.605826416055</v>
      </c>
      <c r="P23" s="72"/>
      <c r="Q23" s="72"/>
    </row>
    <row r="24" spans="1:17" ht="13.5" customHeight="1">
      <c r="A24" s="84"/>
      <c r="B24" s="84"/>
      <c r="C24" s="467">
        <v>20000</v>
      </c>
      <c r="D24" s="122" t="s">
        <v>39</v>
      </c>
      <c r="E24" s="122">
        <v>142.16</v>
      </c>
      <c r="F24" s="126">
        <v>45.211970867919725</v>
      </c>
      <c r="G24" s="441">
        <v>2013</v>
      </c>
      <c r="H24" s="438">
        <v>20000</v>
      </c>
      <c r="I24" s="92">
        <f>H24/100*F24</f>
        <v>9042.394173583945</v>
      </c>
      <c r="J24" s="122"/>
      <c r="K24" s="136"/>
      <c r="L24" s="122"/>
      <c r="M24" s="300"/>
      <c r="N24" s="124"/>
      <c r="O24" s="122">
        <f t="shared" si="0"/>
        <v>9042.394173583945</v>
      </c>
      <c r="P24" s="72"/>
      <c r="Q24" s="137"/>
    </row>
    <row r="25" spans="1:17" ht="15.75">
      <c r="A25" s="84"/>
      <c r="B25" s="84"/>
      <c r="C25" s="468"/>
      <c r="D25" s="72" t="s">
        <v>24</v>
      </c>
      <c r="E25" s="72">
        <v>172.27</v>
      </c>
      <c r="F25" s="120">
        <v>54.788029132080275</v>
      </c>
      <c r="G25" s="443"/>
      <c r="H25" s="440"/>
      <c r="I25" s="92">
        <f>H24/100*F25</f>
        <v>10957.605826416055</v>
      </c>
      <c r="J25" s="122"/>
      <c r="K25" s="136"/>
      <c r="L25" s="122"/>
      <c r="M25" s="124"/>
      <c r="N25" s="124"/>
      <c r="O25" s="122">
        <f t="shared" si="0"/>
        <v>10957.605826416055</v>
      </c>
      <c r="P25" s="72"/>
      <c r="Q25" s="72"/>
    </row>
    <row r="26" spans="1:17" ht="15.75">
      <c r="A26" s="84"/>
      <c r="B26" s="84"/>
      <c r="C26" s="457">
        <v>20000</v>
      </c>
      <c r="D26" s="233" t="s">
        <v>39</v>
      </c>
      <c r="E26" s="233">
        <v>142.16</v>
      </c>
      <c r="F26" s="126">
        <v>45.211970867919725</v>
      </c>
      <c r="G26" s="441">
        <v>2014</v>
      </c>
      <c r="H26" s="438">
        <v>20000</v>
      </c>
      <c r="I26" s="92">
        <f>H26/100*F26</f>
        <v>9042.394173583945</v>
      </c>
      <c r="J26" s="233"/>
      <c r="K26" s="458"/>
      <c r="L26" s="233"/>
      <c r="M26" s="300"/>
      <c r="N26" s="124"/>
      <c r="O26" s="233">
        <f aca="true" t="shared" si="1" ref="O26:O31">I26-J26</f>
        <v>9042.394173583945</v>
      </c>
      <c r="P26" s="226"/>
      <c r="Q26" s="137"/>
    </row>
    <row r="27" spans="1:17" ht="15.75">
      <c r="A27" s="357"/>
      <c r="B27" s="357"/>
      <c r="C27" s="457"/>
      <c r="D27" s="226" t="s">
        <v>24</v>
      </c>
      <c r="E27" s="226">
        <v>172.27</v>
      </c>
      <c r="F27" s="120">
        <v>54.788029132080275</v>
      </c>
      <c r="G27" s="443"/>
      <c r="H27" s="440"/>
      <c r="I27" s="92">
        <f>H26/100*F27</f>
        <v>10957.605826416055</v>
      </c>
      <c r="J27" s="233"/>
      <c r="K27" s="459"/>
      <c r="L27" s="233"/>
      <c r="M27" s="124"/>
      <c r="N27" s="124"/>
      <c r="O27" s="233">
        <f t="shared" si="1"/>
        <v>10957.605826416055</v>
      </c>
      <c r="P27" s="226"/>
      <c r="Q27" s="226"/>
    </row>
    <row r="28" spans="1:17" ht="15.75">
      <c r="A28" s="357"/>
      <c r="B28" s="357"/>
      <c r="C28" s="457">
        <v>20000</v>
      </c>
      <c r="D28" s="233" t="s">
        <v>39</v>
      </c>
      <c r="E28" s="233">
        <v>142.16</v>
      </c>
      <c r="F28" s="126">
        <v>45.211970867919725</v>
      </c>
      <c r="G28" s="441">
        <v>2015</v>
      </c>
      <c r="H28" s="438">
        <v>20000</v>
      </c>
      <c r="I28" s="92">
        <f>H28/100*F28</f>
        <v>9042.394173583945</v>
      </c>
      <c r="J28" s="233"/>
      <c r="K28" s="458"/>
      <c r="L28" s="233"/>
      <c r="M28" s="300"/>
      <c r="N28" s="124"/>
      <c r="O28" s="233">
        <f t="shared" si="1"/>
        <v>9042.394173583945</v>
      </c>
      <c r="P28" s="226"/>
      <c r="Q28" s="137"/>
    </row>
    <row r="29" spans="1:17" ht="15.75">
      <c r="A29" s="357"/>
      <c r="B29" s="357"/>
      <c r="C29" s="457"/>
      <c r="D29" s="226" t="s">
        <v>24</v>
      </c>
      <c r="E29" s="226">
        <v>172.27</v>
      </c>
      <c r="F29" s="120">
        <v>54.788029132080275</v>
      </c>
      <c r="G29" s="443"/>
      <c r="H29" s="440"/>
      <c r="I29" s="92">
        <f>H28/100*F29</f>
        <v>10957.605826416055</v>
      </c>
      <c r="J29" s="233"/>
      <c r="K29" s="459"/>
      <c r="L29" s="233"/>
      <c r="M29" s="124"/>
      <c r="N29" s="124"/>
      <c r="O29" s="233">
        <f t="shared" si="1"/>
        <v>10957.605826416055</v>
      </c>
      <c r="P29" s="226"/>
      <c r="Q29" s="226"/>
    </row>
    <row r="30" spans="1:17" ht="15.75">
      <c r="A30" s="357"/>
      <c r="B30" s="357"/>
      <c r="C30" s="457">
        <v>20000</v>
      </c>
      <c r="D30" s="233" t="s">
        <v>39</v>
      </c>
      <c r="E30" s="233">
        <v>142.16</v>
      </c>
      <c r="F30" s="126">
        <v>45.211970867919725</v>
      </c>
      <c r="G30" s="441">
        <v>2016</v>
      </c>
      <c r="H30" s="438">
        <v>20000</v>
      </c>
      <c r="I30" s="92">
        <f>H30/100*F30</f>
        <v>9042.394173583945</v>
      </c>
      <c r="J30" s="233"/>
      <c r="K30" s="458"/>
      <c r="L30" s="233"/>
      <c r="M30" s="300"/>
      <c r="N30" s="124"/>
      <c r="O30" s="233">
        <f t="shared" si="1"/>
        <v>9042.394173583945</v>
      </c>
      <c r="P30" s="226"/>
      <c r="Q30" s="137"/>
    </row>
    <row r="31" spans="1:17" ht="15.75">
      <c r="A31" s="358"/>
      <c r="B31" s="358"/>
      <c r="C31" s="457"/>
      <c r="D31" s="226" t="s">
        <v>24</v>
      </c>
      <c r="E31" s="226">
        <v>172.27</v>
      </c>
      <c r="F31" s="120">
        <v>54.788029132080275</v>
      </c>
      <c r="G31" s="443"/>
      <c r="H31" s="440"/>
      <c r="I31" s="92">
        <f>H30/100*F31</f>
        <v>10957.605826416055</v>
      </c>
      <c r="J31" s="233"/>
      <c r="K31" s="459"/>
      <c r="L31" s="233"/>
      <c r="M31" s="124"/>
      <c r="N31" s="124"/>
      <c r="O31" s="233">
        <f t="shared" si="1"/>
        <v>10957.605826416055</v>
      </c>
      <c r="P31" s="226"/>
      <c r="Q31" s="226"/>
    </row>
    <row r="32" spans="1:17" ht="15.75">
      <c r="A32" s="376"/>
      <c r="B32" s="376"/>
      <c r="C32" s="457">
        <v>20000</v>
      </c>
      <c r="D32" s="233" t="s">
        <v>39</v>
      </c>
      <c r="E32" s="233">
        <v>142.16</v>
      </c>
      <c r="F32" s="126">
        <v>45.211970867919725</v>
      </c>
      <c r="G32" s="441">
        <v>2017</v>
      </c>
      <c r="H32" s="438">
        <v>20000</v>
      </c>
      <c r="I32" s="92">
        <f>H32/100*F32</f>
        <v>9042.394173583945</v>
      </c>
      <c r="J32" s="233"/>
      <c r="K32" s="458"/>
      <c r="L32" s="233"/>
      <c r="M32" s="300"/>
      <c r="N32" s="124"/>
      <c r="O32" s="233">
        <f aca="true" t="shared" si="2" ref="O32:O37">I32-J32</f>
        <v>9042.394173583945</v>
      </c>
      <c r="P32" s="226"/>
      <c r="Q32" s="137"/>
    </row>
    <row r="33" spans="1:17" ht="15.75">
      <c r="A33" s="377"/>
      <c r="B33" s="377"/>
      <c r="C33" s="457"/>
      <c r="D33" s="226" t="s">
        <v>24</v>
      </c>
      <c r="E33" s="226">
        <v>172.27</v>
      </c>
      <c r="F33" s="120">
        <v>54.788029132080275</v>
      </c>
      <c r="G33" s="443"/>
      <c r="H33" s="440"/>
      <c r="I33" s="92">
        <f>H32/100*F33</f>
        <v>10957.605826416055</v>
      </c>
      <c r="J33" s="233"/>
      <c r="K33" s="459"/>
      <c r="L33" s="233"/>
      <c r="M33" s="124"/>
      <c r="N33" s="124"/>
      <c r="O33" s="233">
        <f t="shared" si="2"/>
        <v>10957.605826416055</v>
      </c>
      <c r="P33" s="226"/>
      <c r="Q33" s="226"/>
    </row>
    <row r="34" spans="1:17" ht="15.75">
      <c r="A34" s="382"/>
      <c r="B34" s="382"/>
      <c r="C34" s="457">
        <v>20000</v>
      </c>
      <c r="D34" s="233" t="s">
        <v>39</v>
      </c>
      <c r="E34" s="233">
        <v>142.16</v>
      </c>
      <c r="F34" s="126">
        <v>45.211970867919725</v>
      </c>
      <c r="G34" s="441">
        <v>2018</v>
      </c>
      <c r="H34" s="438">
        <v>20000</v>
      </c>
      <c r="I34" s="92">
        <f>H34/100*F34</f>
        <v>9042.394173583945</v>
      </c>
      <c r="J34" s="233"/>
      <c r="K34" s="458"/>
      <c r="L34" s="233"/>
      <c r="M34" s="300"/>
      <c r="N34" s="124"/>
      <c r="O34" s="233">
        <f t="shared" si="2"/>
        <v>9042.394173583945</v>
      </c>
      <c r="P34" s="226"/>
      <c r="Q34" s="137"/>
    </row>
    <row r="35" spans="1:17" ht="15.75">
      <c r="A35" s="383"/>
      <c r="B35" s="383"/>
      <c r="C35" s="457"/>
      <c r="D35" s="226" t="s">
        <v>24</v>
      </c>
      <c r="E35" s="226">
        <v>172.27</v>
      </c>
      <c r="F35" s="120">
        <v>54.788029132080275</v>
      </c>
      <c r="G35" s="443"/>
      <c r="H35" s="440"/>
      <c r="I35" s="92">
        <f>H34/100*F35</f>
        <v>10957.605826416055</v>
      </c>
      <c r="J35" s="233"/>
      <c r="K35" s="459"/>
      <c r="L35" s="233"/>
      <c r="M35" s="124"/>
      <c r="N35" s="124"/>
      <c r="O35" s="233">
        <f t="shared" si="2"/>
        <v>10957.605826416055</v>
      </c>
      <c r="P35" s="226"/>
      <c r="Q35" s="226"/>
    </row>
    <row r="36" spans="1:17" ht="15.75">
      <c r="A36" s="385"/>
      <c r="B36" s="385"/>
      <c r="C36" s="457">
        <v>20000</v>
      </c>
      <c r="D36" s="233" t="s">
        <v>39</v>
      </c>
      <c r="E36" s="233">
        <v>142.16</v>
      </c>
      <c r="F36" s="126">
        <v>45.211970867919725</v>
      </c>
      <c r="G36" s="441">
        <v>2019</v>
      </c>
      <c r="H36" s="438">
        <v>20000</v>
      </c>
      <c r="I36" s="92">
        <f>H36/100*F36</f>
        <v>9042.394173583945</v>
      </c>
      <c r="J36" s="233"/>
      <c r="K36" s="458"/>
      <c r="L36" s="233"/>
      <c r="M36" s="300"/>
      <c r="N36" s="124"/>
      <c r="O36" s="233">
        <f t="shared" si="2"/>
        <v>9042.394173583945</v>
      </c>
      <c r="P36" s="226"/>
      <c r="Q36" s="137"/>
    </row>
    <row r="37" spans="1:17" ht="15.75">
      <c r="A37" s="386"/>
      <c r="B37" s="386"/>
      <c r="C37" s="457"/>
      <c r="D37" s="226" t="s">
        <v>24</v>
      </c>
      <c r="E37" s="226">
        <v>172.27</v>
      </c>
      <c r="F37" s="120">
        <v>54.788029132080275</v>
      </c>
      <c r="G37" s="443"/>
      <c r="H37" s="440"/>
      <c r="I37" s="92">
        <f>H36/100*F37</f>
        <v>10957.605826416055</v>
      </c>
      <c r="J37" s="233"/>
      <c r="K37" s="459"/>
      <c r="L37" s="233"/>
      <c r="M37" s="124"/>
      <c r="N37" s="124"/>
      <c r="O37" s="233">
        <f t="shared" si="2"/>
        <v>10957.605826416055</v>
      </c>
      <c r="P37" s="226"/>
      <c r="Q37" s="226"/>
    </row>
    <row r="38" spans="1:17" ht="15.75">
      <c r="A38" s="444" t="s">
        <v>27</v>
      </c>
      <c r="B38" s="445"/>
      <c r="C38" s="445"/>
      <c r="D38" s="445"/>
      <c r="E38" s="445"/>
      <c r="F38" s="445"/>
      <c r="G38" s="446"/>
      <c r="H38" s="125">
        <f>SUM(H8:H37)</f>
        <v>415000</v>
      </c>
      <c r="I38" s="125">
        <f>SUM(I8:I37)</f>
        <v>415000</v>
      </c>
      <c r="J38" s="116">
        <f>SUM(J8:J29)</f>
        <v>0</v>
      </c>
      <c r="K38" s="116"/>
      <c r="L38" s="116"/>
      <c r="M38" s="118"/>
      <c r="N38" s="118"/>
      <c r="O38" s="116">
        <f>SUM(O8:O37)</f>
        <v>415000</v>
      </c>
      <c r="P38" s="110"/>
      <c r="Q38" s="110"/>
    </row>
    <row r="39" ht="15.75" thickBot="1"/>
    <row r="40" spans="4:12" ht="15">
      <c r="D40" s="398" t="s">
        <v>78</v>
      </c>
      <c r="E40" s="394" t="s">
        <v>75</v>
      </c>
      <c r="F40" s="394"/>
      <c r="G40" s="400"/>
      <c r="H40" s="400"/>
      <c r="I40" s="402" t="s">
        <v>76</v>
      </c>
      <c r="J40" s="404" t="s">
        <v>77</v>
      </c>
      <c r="K40" s="394" t="s">
        <v>79</v>
      </c>
      <c r="L40" s="396" t="s">
        <v>80</v>
      </c>
    </row>
    <row r="41" spans="3:12" ht="15">
      <c r="C41" s="51"/>
      <c r="D41" s="461"/>
      <c r="E41" s="224" t="s">
        <v>81</v>
      </c>
      <c r="F41" s="224" t="s">
        <v>18</v>
      </c>
      <c r="G41" s="462"/>
      <c r="H41" s="462"/>
      <c r="I41" s="463"/>
      <c r="J41" s="464"/>
      <c r="K41" s="452"/>
      <c r="L41" s="460"/>
    </row>
    <row r="42" spans="3:12" ht="15.75">
      <c r="C42" s="257"/>
      <c r="D42" s="258" t="s">
        <v>39</v>
      </c>
      <c r="E42" s="130">
        <v>142.16</v>
      </c>
      <c r="F42" s="131">
        <v>45.211970867919725</v>
      </c>
      <c r="G42" s="222"/>
      <c r="H42" s="222"/>
      <c r="I42" s="106">
        <f>SUM(I24,I22,I20,I18,I16,I14,I12,I10,I8,I26,I28,I30,I32,I34,I36)</f>
        <v>187629.67910186687</v>
      </c>
      <c r="J42" s="106">
        <f>SUM(J24,J22,J20,J18,J16,J14,J12,J10,J8,J26)</f>
        <v>0</v>
      </c>
      <c r="K42" s="222"/>
      <c r="L42" s="259">
        <f>I42-J42</f>
        <v>187629.67910186687</v>
      </c>
    </row>
    <row r="43" spans="3:12" ht="15.75">
      <c r="C43" s="51"/>
      <c r="D43" s="260" t="s">
        <v>24</v>
      </c>
      <c r="E43" s="110">
        <v>172.27</v>
      </c>
      <c r="F43" s="132">
        <v>54.788029132080275</v>
      </c>
      <c r="G43" s="222"/>
      <c r="H43" s="222"/>
      <c r="I43" s="106">
        <f>SUM(I25,I23,I21,I19,I17,I15,I13,I11,I9,I27,I29,I31,I33,I35,I37)</f>
        <v>227370.32089813313</v>
      </c>
      <c r="J43" s="106">
        <f>SUM(J25,J23,J21,J19,J17,J15,J13,J11,J9)</f>
        <v>0</v>
      </c>
      <c r="K43" s="222"/>
      <c r="L43" s="259">
        <f>I43-J43</f>
        <v>227370.32089813313</v>
      </c>
    </row>
    <row r="44" spans="4:15" ht="15.75" thickBot="1">
      <c r="D44" s="261" t="s">
        <v>27</v>
      </c>
      <c r="E44" s="235"/>
      <c r="F44" s="235"/>
      <c r="G44" s="235"/>
      <c r="H44" s="235"/>
      <c r="I44" s="255">
        <f>SUM(I42:I43)</f>
        <v>415000</v>
      </c>
      <c r="J44" s="255">
        <f>SUM(J42:J43)</f>
        <v>0</v>
      </c>
      <c r="K44" s="255">
        <f>SUM(K42:K43)</f>
        <v>0</v>
      </c>
      <c r="L44" s="256">
        <f>SUM(L42:L43)</f>
        <v>415000</v>
      </c>
      <c r="O44" s="38"/>
    </row>
  </sheetData>
  <sheetProtection/>
  <mergeCells count="70">
    <mergeCell ref="C28:C29"/>
    <mergeCell ref="G28:G29"/>
    <mergeCell ref="H28:H29"/>
    <mergeCell ref="K28:K29"/>
    <mergeCell ref="C32:C33"/>
    <mergeCell ref="G32:G33"/>
    <mergeCell ref="C30:C31"/>
    <mergeCell ref="G30:G31"/>
    <mergeCell ref="H30:H31"/>
    <mergeCell ref="K30:K31"/>
    <mergeCell ref="G26:G27"/>
    <mergeCell ref="H26:H27"/>
    <mergeCell ref="K26:K27"/>
    <mergeCell ref="C26:C27"/>
    <mergeCell ref="C24:C25"/>
    <mergeCell ref="H18:H19"/>
    <mergeCell ref="G16:G17"/>
    <mergeCell ref="H16:H17"/>
    <mergeCell ref="G14:G15"/>
    <mergeCell ref="H14:H15"/>
    <mergeCell ref="H20:H21"/>
    <mergeCell ref="G18:G19"/>
    <mergeCell ref="E7:F7"/>
    <mergeCell ref="G24:G25"/>
    <mergeCell ref="H24:H25"/>
    <mergeCell ref="G22:G23"/>
    <mergeCell ref="H22:H23"/>
    <mergeCell ref="G20:G21"/>
    <mergeCell ref="G10:G11"/>
    <mergeCell ref="H10:H11"/>
    <mergeCell ref="G8:G9"/>
    <mergeCell ref="H8:H9"/>
    <mergeCell ref="A38:G38"/>
    <mergeCell ref="A1:Q2"/>
    <mergeCell ref="A4:A6"/>
    <mergeCell ref="B4:B6"/>
    <mergeCell ref="C4:C6"/>
    <mergeCell ref="D4:D6"/>
    <mergeCell ref="J5:J6"/>
    <mergeCell ref="K5:K6"/>
    <mergeCell ref="L5:L6"/>
    <mergeCell ref="M5:M6"/>
    <mergeCell ref="E4:F5"/>
    <mergeCell ref="G4:Q4"/>
    <mergeCell ref="G12:G13"/>
    <mergeCell ref="H12:H13"/>
    <mergeCell ref="N5:N6"/>
    <mergeCell ref="O5:O6"/>
    <mergeCell ref="G5:H5"/>
    <mergeCell ref="I5:I6"/>
    <mergeCell ref="P5:P6"/>
    <mergeCell ref="Q5:Q6"/>
    <mergeCell ref="K40:K41"/>
    <mergeCell ref="L40:L41"/>
    <mergeCell ref="D40:D41"/>
    <mergeCell ref="E40:F40"/>
    <mergeCell ref="G40:G41"/>
    <mergeCell ref="H40:H41"/>
    <mergeCell ref="I40:I41"/>
    <mergeCell ref="J40:J41"/>
    <mergeCell ref="C36:C37"/>
    <mergeCell ref="G36:G37"/>
    <mergeCell ref="H36:H37"/>
    <mergeCell ref="K36:K37"/>
    <mergeCell ref="H32:H33"/>
    <mergeCell ref="K32:K33"/>
    <mergeCell ref="C34:C35"/>
    <mergeCell ref="G34:G35"/>
    <mergeCell ref="H34:H35"/>
    <mergeCell ref="K34:K35"/>
  </mergeCells>
  <printOptions/>
  <pageMargins left="0.65" right="0.95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view="pageBreakPreview" zoomScale="85" zoomScaleSheetLayoutView="85" zoomScalePageLayoutView="0" workbookViewId="0" topLeftCell="A49">
      <selection activeCell="I66" sqref="I66:L71"/>
    </sheetView>
  </sheetViews>
  <sheetFormatPr defaultColWidth="9.140625" defaultRowHeight="15"/>
  <cols>
    <col min="1" max="1" width="22.421875" style="0" customWidth="1"/>
    <col min="2" max="2" width="11.00390625" style="0" bestFit="1" customWidth="1"/>
    <col min="4" max="4" width="21.28125" style="0" customWidth="1"/>
    <col min="6" max="6" width="17.7109375" style="0" customWidth="1"/>
    <col min="9" max="9" width="16.57421875" style="0" customWidth="1"/>
    <col min="10" max="10" width="15.421875" style="0" customWidth="1"/>
    <col min="11" max="11" width="22.00390625" style="0" customWidth="1"/>
    <col min="13" max="13" width="13.57421875" style="0" customWidth="1"/>
    <col min="14" max="14" width="10.8515625" style="0" customWidth="1"/>
    <col min="17" max="17" width="12.42187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61.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31.5">
      <c r="A8" s="201" t="s">
        <v>42</v>
      </c>
      <c r="B8" s="104">
        <v>38417</v>
      </c>
      <c r="C8" s="81">
        <v>20000</v>
      </c>
      <c r="D8" s="71" t="s">
        <v>41</v>
      </c>
      <c r="E8" s="72">
        <v>942.34</v>
      </c>
      <c r="F8" s="78">
        <v>38.844004023149594</v>
      </c>
      <c r="G8" s="441">
        <v>2005</v>
      </c>
      <c r="H8" s="438">
        <v>11534</v>
      </c>
      <c r="I8" s="75">
        <f>H8/100*F8</f>
        <v>4480.267424030074</v>
      </c>
      <c r="J8" s="76"/>
      <c r="K8" s="77"/>
      <c r="L8" s="76"/>
      <c r="M8" s="133"/>
      <c r="N8" s="133"/>
      <c r="O8" s="72">
        <f>I8-J8</f>
        <v>4480.267424030074</v>
      </c>
      <c r="P8" s="73"/>
      <c r="Q8" s="72"/>
    </row>
    <row r="9" spans="1:17" ht="15.75">
      <c r="A9" s="202"/>
      <c r="B9" s="365">
        <v>41317</v>
      </c>
      <c r="C9" s="83"/>
      <c r="D9" s="71" t="s">
        <v>43</v>
      </c>
      <c r="E9" s="72">
        <v>418.72</v>
      </c>
      <c r="F9" s="78">
        <v>17.259971310326634</v>
      </c>
      <c r="G9" s="442"/>
      <c r="H9" s="450"/>
      <c r="I9" s="75">
        <f>H8/100*F9</f>
        <v>1990.765090933074</v>
      </c>
      <c r="J9" s="76"/>
      <c r="K9" s="77"/>
      <c r="L9" s="76"/>
      <c r="M9" s="133"/>
      <c r="N9" s="133"/>
      <c r="O9" s="72">
        <f aca="true" t="shared" si="0" ref="O9:O55">I9-J9</f>
        <v>1990.765090933074</v>
      </c>
      <c r="P9" s="73"/>
      <c r="Q9" s="72"/>
    </row>
    <row r="10" spans="1:17" ht="15.75">
      <c r="A10" s="202"/>
      <c r="B10" s="85"/>
      <c r="C10" s="83"/>
      <c r="D10" s="71" t="s">
        <v>44</v>
      </c>
      <c r="E10" s="72">
        <v>561.68</v>
      </c>
      <c r="F10" s="78">
        <v>23.152896173061382</v>
      </c>
      <c r="G10" s="442"/>
      <c r="H10" s="450"/>
      <c r="I10" s="75">
        <f>H8/100*F10</f>
        <v>2670.4550446009</v>
      </c>
      <c r="J10" s="76"/>
      <c r="K10" s="77"/>
      <c r="L10" s="76"/>
      <c r="M10" s="133"/>
      <c r="N10" s="133"/>
      <c r="O10" s="72">
        <f t="shared" si="0"/>
        <v>2670.4550446009</v>
      </c>
      <c r="P10" s="73"/>
      <c r="Q10" s="72"/>
    </row>
    <row r="11" spans="1:17" ht="15.75">
      <c r="A11" s="202"/>
      <c r="B11" s="85"/>
      <c r="C11" s="83"/>
      <c r="D11" s="71" t="s">
        <v>45</v>
      </c>
      <c r="E11" s="72">
        <v>210.23</v>
      </c>
      <c r="F11" s="78">
        <v>8.665847746871341</v>
      </c>
      <c r="G11" s="442"/>
      <c r="H11" s="450"/>
      <c r="I11" s="75">
        <f>H8/100*F11</f>
        <v>999.5188791241405</v>
      </c>
      <c r="J11" s="76"/>
      <c r="K11" s="77"/>
      <c r="L11" s="76"/>
      <c r="M11" s="133"/>
      <c r="N11" s="133"/>
      <c r="O11" s="72">
        <f t="shared" si="0"/>
        <v>999.5188791241405</v>
      </c>
      <c r="P11" s="73"/>
      <c r="Q11" s="72"/>
    </row>
    <row r="12" spans="1:17" ht="15.75">
      <c r="A12" s="202"/>
      <c r="B12" s="85"/>
      <c r="C12" s="83"/>
      <c r="D12" s="71" t="s">
        <v>46</v>
      </c>
      <c r="E12" s="72">
        <v>92.59</v>
      </c>
      <c r="F12" s="78">
        <v>3.816633415225313</v>
      </c>
      <c r="G12" s="442"/>
      <c r="H12" s="450"/>
      <c r="I12" s="75">
        <f>H8/100*F12</f>
        <v>440.21049811208763</v>
      </c>
      <c r="J12" s="76"/>
      <c r="K12" s="77"/>
      <c r="L12" s="76"/>
      <c r="M12" s="133"/>
      <c r="N12" s="133"/>
      <c r="O12" s="72">
        <f t="shared" si="0"/>
        <v>440.21049811208763</v>
      </c>
      <c r="P12" s="73"/>
      <c r="Q12" s="72"/>
    </row>
    <row r="13" spans="1:17" ht="15.75">
      <c r="A13" s="202"/>
      <c r="B13" s="85"/>
      <c r="C13" s="83"/>
      <c r="D13" s="71" t="s">
        <v>47</v>
      </c>
      <c r="E13" s="72">
        <v>200.4</v>
      </c>
      <c r="F13" s="78">
        <v>8.260647331365728</v>
      </c>
      <c r="G13" s="443"/>
      <c r="H13" s="451"/>
      <c r="I13" s="75">
        <f>H8/100*F13</f>
        <v>952.7830631997231</v>
      </c>
      <c r="J13" s="76"/>
      <c r="K13" s="77"/>
      <c r="L13" s="76"/>
      <c r="M13" s="133"/>
      <c r="N13" s="133"/>
      <c r="O13" s="72">
        <f t="shared" si="0"/>
        <v>952.7830631997231</v>
      </c>
      <c r="P13" s="73"/>
      <c r="Q13" s="72"/>
    </row>
    <row r="14" spans="1:17" ht="15.75">
      <c r="A14" s="202"/>
      <c r="B14" s="85"/>
      <c r="C14" s="83">
        <v>20000</v>
      </c>
      <c r="D14" s="71" t="s">
        <v>41</v>
      </c>
      <c r="E14" s="72">
        <v>942.34</v>
      </c>
      <c r="F14" s="78">
        <v>38.844004023149594</v>
      </c>
      <c r="G14" s="441">
        <v>2006</v>
      </c>
      <c r="H14" s="438">
        <v>20000</v>
      </c>
      <c r="I14" s="75">
        <f>H14/100*F14</f>
        <v>7768.800804629919</v>
      </c>
      <c r="J14" s="76"/>
      <c r="K14" s="77"/>
      <c r="L14" s="76"/>
      <c r="M14" s="133"/>
      <c r="N14" s="133"/>
      <c r="O14" s="72">
        <f t="shared" si="0"/>
        <v>7768.800804629919</v>
      </c>
      <c r="P14" s="72"/>
      <c r="Q14" s="72"/>
    </row>
    <row r="15" spans="1:17" ht="15.75">
      <c r="A15" s="202"/>
      <c r="B15" s="85"/>
      <c r="C15" s="83"/>
      <c r="D15" s="71" t="s">
        <v>43</v>
      </c>
      <c r="E15" s="72">
        <v>418.72</v>
      </c>
      <c r="F15" s="78">
        <v>17.259971310326634</v>
      </c>
      <c r="G15" s="442"/>
      <c r="H15" s="450"/>
      <c r="I15" s="75">
        <f>H14/100*F15</f>
        <v>3451.994262065327</v>
      </c>
      <c r="J15" s="76"/>
      <c r="K15" s="77"/>
      <c r="L15" s="76"/>
      <c r="M15" s="133"/>
      <c r="N15" s="133"/>
      <c r="O15" s="72">
        <f t="shared" si="0"/>
        <v>3451.994262065327</v>
      </c>
      <c r="P15" s="72"/>
      <c r="Q15" s="72"/>
    </row>
    <row r="16" spans="1:17" ht="15.75">
      <c r="A16" s="202"/>
      <c r="B16" s="85"/>
      <c r="C16" s="83"/>
      <c r="D16" s="71" t="s">
        <v>44</v>
      </c>
      <c r="E16" s="72">
        <v>561.68</v>
      </c>
      <c r="F16" s="78">
        <v>23.152896173061382</v>
      </c>
      <c r="G16" s="442"/>
      <c r="H16" s="450"/>
      <c r="I16" s="75">
        <f>H14/100*F16</f>
        <v>4630.579234612276</v>
      </c>
      <c r="J16" s="76"/>
      <c r="K16" s="77"/>
      <c r="L16" s="76"/>
      <c r="M16" s="133"/>
      <c r="N16" s="133"/>
      <c r="O16" s="72">
        <f t="shared" si="0"/>
        <v>4630.579234612276</v>
      </c>
      <c r="P16" s="72"/>
      <c r="Q16" s="72"/>
    </row>
    <row r="17" spans="1:17" ht="15.75">
      <c r="A17" s="202"/>
      <c r="B17" s="85"/>
      <c r="C17" s="83"/>
      <c r="D17" s="71" t="s">
        <v>45</v>
      </c>
      <c r="E17" s="72">
        <v>210.23</v>
      </c>
      <c r="F17" s="78">
        <v>8.665847746871341</v>
      </c>
      <c r="G17" s="442"/>
      <c r="H17" s="450"/>
      <c r="I17" s="75">
        <f>H14/100*F17</f>
        <v>1733.1695493742682</v>
      </c>
      <c r="J17" s="76"/>
      <c r="K17" s="77"/>
      <c r="L17" s="76"/>
      <c r="M17" s="133"/>
      <c r="N17" s="133"/>
      <c r="O17" s="72">
        <f t="shared" si="0"/>
        <v>1733.1695493742682</v>
      </c>
      <c r="P17" s="72"/>
      <c r="Q17" s="72"/>
    </row>
    <row r="18" spans="1:17" ht="15.75">
      <c r="A18" s="202"/>
      <c r="B18" s="85"/>
      <c r="C18" s="83"/>
      <c r="D18" s="71" t="s">
        <v>46</v>
      </c>
      <c r="E18" s="72">
        <v>92.59</v>
      </c>
      <c r="F18" s="78">
        <v>3.816633415225313</v>
      </c>
      <c r="G18" s="442"/>
      <c r="H18" s="450"/>
      <c r="I18" s="75">
        <f>H14/100*F18</f>
        <v>763.3266830450626</v>
      </c>
      <c r="J18" s="76"/>
      <c r="K18" s="77"/>
      <c r="L18" s="76"/>
      <c r="M18" s="133"/>
      <c r="N18" s="133"/>
      <c r="O18" s="72">
        <f t="shared" si="0"/>
        <v>763.3266830450626</v>
      </c>
      <c r="P18" s="72"/>
      <c r="Q18" s="72"/>
    </row>
    <row r="19" spans="1:17" ht="15.75">
      <c r="A19" s="202"/>
      <c r="B19" s="85"/>
      <c r="C19" s="83"/>
      <c r="D19" s="71" t="s">
        <v>47</v>
      </c>
      <c r="E19" s="72">
        <v>200.4</v>
      </c>
      <c r="F19" s="78">
        <v>8.260647331365728</v>
      </c>
      <c r="G19" s="443"/>
      <c r="H19" s="451"/>
      <c r="I19" s="75">
        <f>H14/100*F19</f>
        <v>1652.1294662731457</v>
      </c>
      <c r="J19" s="76"/>
      <c r="K19" s="77"/>
      <c r="L19" s="76"/>
      <c r="M19" s="133"/>
      <c r="N19" s="133"/>
      <c r="O19" s="72">
        <f t="shared" si="0"/>
        <v>1652.1294662731457</v>
      </c>
      <c r="P19" s="72"/>
      <c r="Q19" s="72"/>
    </row>
    <row r="20" spans="1:17" ht="15.75">
      <c r="A20" s="202"/>
      <c r="B20" s="85"/>
      <c r="C20" s="83">
        <v>20000</v>
      </c>
      <c r="D20" s="71" t="s">
        <v>41</v>
      </c>
      <c r="E20" s="72">
        <v>942.34</v>
      </c>
      <c r="F20" s="78">
        <v>38.844004023149594</v>
      </c>
      <c r="G20" s="441">
        <v>2007</v>
      </c>
      <c r="H20" s="438">
        <v>20000</v>
      </c>
      <c r="I20" s="75">
        <f>H20/100*F20</f>
        <v>7768.800804629919</v>
      </c>
      <c r="J20" s="76"/>
      <c r="K20" s="77"/>
      <c r="L20" s="76"/>
      <c r="M20" s="133"/>
      <c r="N20" s="133"/>
      <c r="O20" s="72">
        <f t="shared" si="0"/>
        <v>7768.800804629919</v>
      </c>
      <c r="P20" s="72"/>
      <c r="Q20" s="72"/>
    </row>
    <row r="21" spans="1:17" ht="15.75">
      <c r="A21" s="202"/>
      <c r="B21" s="85"/>
      <c r="C21" s="83"/>
      <c r="D21" s="71" t="s">
        <v>43</v>
      </c>
      <c r="E21" s="72">
        <v>418.72</v>
      </c>
      <c r="F21" s="78">
        <v>17.259971310326634</v>
      </c>
      <c r="G21" s="442"/>
      <c r="H21" s="450"/>
      <c r="I21" s="75">
        <f>H20/100*F21</f>
        <v>3451.994262065327</v>
      </c>
      <c r="J21" s="76"/>
      <c r="K21" s="77"/>
      <c r="L21" s="76"/>
      <c r="M21" s="133"/>
      <c r="N21" s="133"/>
      <c r="O21" s="72">
        <f t="shared" si="0"/>
        <v>3451.994262065327</v>
      </c>
      <c r="P21" s="72"/>
      <c r="Q21" s="72"/>
    </row>
    <row r="22" spans="1:17" ht="15.75">
      <c r="A22" s="202"/>
      <c r="B22" s="85"/>
      <c r="C22" s="83"/>
      <c r="D22" s="71" t="s">
        <v>44</v>
      </c>
      <c r="E22" s="72">
        <v>561.68</v>
      </c>
      <c r="F22" s="78">
        <v>23.152896173061382</v>
      </c>
      <c r="G22" s="442"/>
      <c r="H22" s="450"/>
      <c r="I22" s="75">
        <f>H20/100*F22</f>
        <v>4630.579234612276</v>
      </c>
      <c r="J22" s="76"/>
      <c r="K22" s="77"/>
      <c r="L22" s="76"/>
      <c r="M22" s="133"/>
      <c r="N22" s="133"/>
      <c r="O22" s="72">
        <f t="shared" si="0"/>
        <v>4630.579234612276</v>
      </c>
      <c r="P22" s="72"/>
      <c r="Q22" s="72"/>
    </row>
    <row r="23" spans="1:17" ht="15.75">
      <c r="A23" s="202"/>
      <c r="B23" s="85"/>
      <c r="C23" s="83"/>
      <c r="D23" s="71" t="s">
        <v>45</v>
      </c>
      <c r="E23" s="72">
        <v>210.23</v>
      </c>
      <c r="F23" s="78">
        <v>8.665847746871341</v>
      </c>
      <c r="G23" s="442"/>
      <c r="H23" s="450"/>
      <c r="I23" s="75">
        <f>H20/100*F23</f>
        <v>1733.1695493742682</v>
      </c>
      <c r="J23" s="76"/>
      <c r="K23" s="77"/>
      <c r="L23" s="76"/>
      <c r="M23" s="133"/>
      <c r="N23" s="133"/>
      <c r="O23" s="72">
        <f t="shared" si="0"/>
        <v>1733.1695493742682</v>
      </c>
      <c r="P23" s="72"/>
      <c r="Q23" s="72"/>
    </row>
    <row r="24" spans="1:17" ht="15.75">
      <c r="A24" s="202"/>
      <c r="B24" s="85"/>
      <c r="C24" s="83"/>
      <c r="D24" s="71" t="s">
        <v>46</v>
      </c>
      <c r="E24" s="72">
        <v>92.59</v>
      </c>
      <c r="F24" s="78">
        <v>3.816633415225313</v>
      </c>
      <c r="G24" s="442"/>
      <c r="H24" s="450"/>
      <c r="I24" s="75">
        <f>H20/100*F24</f>
        <v>763.3266830450626</v>
      </c>
      <c r="J24" s="76"/>
      <c r="K24" s="77"/>
      <c r="L24" s="76"/>
      <c r="M24" s="133"/>
      <c r="N24" s="133"/>
      <c r="O24" s="72">
        <f t="shared" si="0"/>
        <v>763.3266830450626</v>
      </c>
      <c r="P24" s="72"/>
      <c r="Q24" s="72"/>
    </row>
    <row r="25" spans="1:17" ht="15.75">
      <c r="A25" s="202"/>
      <c r="B25" s="85"/>
      <c r="C25" s="83"/>
      <c r="D25" s="71" t="s">
        <v>47</v>
      </c>
      <c r="E25" s="72">
        <v>200.4</v>
      </c>
      <c r="F25" s="78">
        <v>8.260647331365728</v>
      </c>
      <c r="G25" s="443"/>
      <c r="H25" s="451"/>
      <c r="I25" s="75">
        <f>H20/100*F25</f>
        <v>1652.1294662731457</v>
      </c>
      <c r="J25" s="76"/>
      <c r="K25" s="77"/>
      <c r="L25" s="76"/>
      <c r="M25" s="133"/>
      <c r="N25" s="133"/>
      <c r="O25" s="72">
        <f t="shared" si="0"/>
        <v>1652.1294662731457</v>
      </c>
      <c r="P25" s="72"/>
      <c r="Q25" s="72"/>
    </row>
    <row r="26" spans="1:17" ht="15.75">
      <c r="A26" s="202"/>
      <c r="B26" s="85"/>
      <c r="C26" s="83">
        <v>20000</v>
      </c>
      <c r="D26" s="71" t="s">
        <v>41</v>
      </c>
      <c r="E26" s="72">
        <v>942.34</v>
      </c>
      <c r="F26" s="78">
        <v>38.844004023149594</v>
      </c>
      <c r="G26" s="441">
        <v>2008</v>
      </c>
      <c r="H26" s="438">
        <v>20000</v>
      </c>
      <c r="I26" s="75">
        <f>H26/100*F26</f>
        <v>7768.800804629919</v>
      </c>
      <c r="J26" s="76"/>
      <c r="K26" s="77"/>
      <c r="L26" s="76"/>
      <c r="M26" s="133"/>
      <c r="N26" s="133"/>
      <c r="O26" s="72">
        <f t="shared" si="0"/>
        <v>7768.800804629919</v>
      </c>
      <c r="P26" s="72"/>
      <c r="Q26" s="72"/>
    </row>
    <row r="27" spans="1:17" ht="15.75">
      <c r="A27" s="202"/>
      <c r="B27" s="85"/>
      <c r="C27" s="83"/>
      <c r="D27" s="71" t="s">
        <v>43</v>
      </c>
      <c r="E27" s="72">
        <v>418.72</v>
      </c>
      <c r="F27" s="78">
        <v>17.259971310326634</v>
      </c>
      <c r="G27" s="442"/>
      <c r="H27" s="450"/>
      <c r="I27" s="75">
        <f>H26/100*F27</f>
        <v>3451.994262065327</v>
      </c>
      <c r="J27" s="76"/>
      <c r="K27" s="77"/>
      <c r="L27" s="76"/>
      <c r="M27" s="133"/>
      <c r="N27" s="133"/>
      <c r="O27" s="72">
        <f t="shared" si="0"/>
        <v>3451.994262065327</v>
      </c>
      <c r="P27" s="72"/>
      <c r="Q27" s="72"/>
    </row>
    <row r="28" spans="1:17" ht="15.75">
      <c r="A28" s="202"/>
      <c r="B28" s="85"/>
      <c r="C28" s="83"/>
      <c r="D28" s="71" t="s">
        <v>44</v>
      </c>
      <c r="E28" s="72">
        <v>561.68</v>
      </c>
      <c r="F28" s="78">
        <v>23.152896173061382</v>
      </c>
      <c r="G28" s="442"/>
      <c r="H28" s="450"/>
      <c r="I28" s="75">
        <f>H26/100*F28</f>
        <v>4630.579234612276</v>
      </c>
      <c r="J28" s="76"/>
      <c r="K28" s="77"/>
      <c r="L28" s="76"/>
      <c r="M28" s="133"/>
      <c r="N28" s="133"/>
      <c r="O28" s="72">
        <f t="shared" si="0"/>
        <v>4630.579234612276</v>
      </c>
      <c r="P28" s="72"/>
      <c r="Q28" s="72"/>
    </row>
    <row r="29" spans="1:17" ht="15.75">
      <c r="A29" s="202"/>
      <c r="B29" s="85"/>
      <c r="C29" s="83"/>
      <c r="D29" s="71" t="s">
        <v>45</v>
      </c>
      <c r="E29" s="72">
        <v>210.23</v>
      </c>
      <c r="F29" s="78">
        <v>8.665847746871341</v>
      </c>
      <c r="G29" s="442"/>
      <c r="H29" s="450"/>
      <c r="I29" s="75">
        <f>H26/100*F29</f>
        <v>1733.1695493742682</v>
      </c>
      <c r="J29" s="76"/>
      <c r="K29" s="77"/>
      <c r="L29" s="76"/>
      <c r="M29" s="133"/>
      <c r="N29" s="133"/>
      <c r="O29" s="72">
        <f t="shared" si="0"/>
        <v>1733.1695493742682</v>
      </c>
      <c r="P29" s="72"/>
      <c r="Q29" s="72"/>
    </row>
    <row r="30" spans="1:17" ht="15.75">
      <c r="A30" s="202"/>
      <c r="B30" s="85"/>
      <c r="C30" s="83"/>
      <c r="D30" s="71" t="s">
        <v>46</v>
      </c>
      <c r="E30" s="72">
        <v>92.59</v>
      </c>
      <c r="F30" s="78">
        <v>3.816633415225313</v>
      </c>
      <c r="G30" s="442"/>
      <c r="H30" s="450"/>
      <c r="I30" s="75">
        <f>H26/100*F30</f>
        <v>763.3266830450626</v>
      </c>
      <c r="J30" s="76"/>
      <c r="K30" s="77"/>
      <c r="L30" s="76"/>
      <c r="M30" s="133"/>
      <c r="N30" s="133"/>
      <c r="O30" s="72">
        <f t="shared" si="0"/>
        <v>763.3266830450626</v>
      </c>
      <c r="P30" s="72"/>
      <c r="Q30" s="72"/>
    </row>
    <row r="31" spans="1:17" ht="15.75">
      <c r="A31" s="202"/>
      <c r="B31" s="85"/>
      <c r="C31" s="83"/>
      <c r="D31" s="71" t="s">
        <v>47</v>
      </c>
      <c r="E31" s="72">
        <v>200.4</v>
      </c>
      <c r="F31" s="78">
        <v>8.260647331365728</v>
      </c>
      <c r="G31" s="443"/>
      <c r="H31" s="451"/>
      <c r="I31" s="75">
        <f>H26/100*F31</f>
        <v>1652.1294662731457</v>
      </c>
      <c r="J31" s="76"/>
      <c r="K31" s="77"/>
      <c r="L31" s="76"/>
      <c r="M31" s="133"/>
      <c r="N31" s="133"/>
      <c r="O31" s="72">
        <f t="shared" si="0"/>
        <v>1652.1294662731457</v>
      </c>
      <c r="P31" s="72"/>
      <c r="Q31" s="72"/>
    </row>
    <row r="32" spans="1:17" ht="22.5" customHeight="1">
      <c r="A32" s="202"/>
      <c r="B32" s="85"/>
      <c r="C32" s="83">
        <v>20000</v>
      </c>
      <c r="D32" s="71" t="s">
        <v>41</v>
      </c>
      <c r="E32" s="72">
        <v>942.34</v>
      </c>
      <c r="F32" s="78">
        <v>38.844004023149594</v>
      </c>
      <c r="G32" s="441">
        <v>2009</v>
      </c>
      <c r="H32" s="438">
        <v>20000</v>
      </c>
      <c r="I32" s="75">
        <f>H32/100*F32</f>
        <v>7768.800804629919</v>
      </c>
      <c r="J32" s="178"/>
      <c r="K32" s="245"/>
      <c r="L32" s="76"/>
      <c r="M32" s="133"/>
      <c r="N32" s="133"/>
      <c r="O32" s="72">
        <f t="shared" si="0"/>
        <v>7768.800804629919</v>
      </c>
      <c r="P32" s="72"/>
      <c r="Q32" s="72"/>
    </row>
    <row r="33" spans="1:17" ht="15.75">
      <c r="A33" s="202"/>
      <c r="B33" s="85"/>
      <c r="C33" s="83"/>
      <c r="D33" s="71" t="s">
        <v>43</v>
      </c>
      <c r="E33" s="72">
        <v>418.72</v>
      </c>
      <c r="F33" s="78">
        <v>17.259971310326634</v>
      </c>
      <c r="G33" s="442"/>
      <c r="H33" s="450"/>
      <c r="I33" s="75">
        <f>H32/100*F33</f>
        <v>3451.994262065327</v>
      </c>
      <c r="J33" s="178"/>
      <c r="K33" s="245"/>
      <c r="L33" s="76"/>
      <c r="M33" s="133"/>
      <c r="N33" s="133"/>
      <c r="O33" s="72">
        <f t="shared" si="0"/>
        <v>3451.994262065327</v>
      </c>
      <c r="P33" s="72"/>
      <c r="Q33" s="72"/>
    </row>
    <row r="34" spans="1:17" ht="15.75">
      <c r="A34" s="202"/>
      <c r="B34" s="85"/>
      <c r="C34" s="83"/>
      <c r="D34" s="71" t="s">
        <v>44</v>
      </c>
      <c r="E34" s="72">
        <v>561.68</v>
      </c>
      <c r="F34" s="78">
        <v>23.152896173061382</v>
      </c>
      <c r="G34" s="442"/>
      <c r="H34" s="450"/>
      <c r="I34" s="75">
        <f>H32/100*F34</f>
        <v>4630.579234612276</v>
      </c>
      <c r="J34" s="178"/>
      <c r="K34" s="245"/>
      <c r="L34" s="76"/>
      <c r="M34" s="133"/>
      <c r="N34" s="133"/>
      <c r="O34" s="72">
        <f t="shared" si="0"/>
        <v>4630.579234612276</v>
      </c>
      <c r="P34" s="72"/>
      <c r="Q34" s="72"/>
    </row>
    <row r="35" spans="1:17" ht="15.75">
      <c r="A35" s="202"/>
      <c r="B35" s="85"/>
      <c r="C35" s="83"/>
      <c r="D35" s="71" t="s">
        <v>45</v>
      </c>
      <c r="E35" s="72">
        <v>210.23</v>
      </c>
      <c r="F35" s="78">
        <v>8.665847746871341</v>
      </c>
      <c r="G35" s="442"/>
      <c r="H35" s="450"/>
      <c r="I35" s="75">
        <f>H32/100*F35</f>
        <v>1733.1695493742682</v>
      </c>
      <c r="J35" s="178"/>
      <c r="K35" s="245"/>
      <c r="L35" s="76"/>
      <c r="M35" s="133"/>
      <c r="N35" s="133"/>
      <c r="O35" s="72">
        <f t="shared" si="0"/>
        <v>1733.1695493742682</v>
      </c>
      <c r="P35" s="72"/>
      <c r="Q35" s="72"/>
    </row>
    <row r="36" spans="1:17" ht="15.75">
      <c r="A36" s="202"/>
      <c r="B36" s="85"/>
      <c r="C36" s="83"/>
      <c r="D36" s="71" t="s">
        <v>46</v>
      </c>
      <c r="E36" s="72">
        <v>92.59</v>
      </c>
      <c r="F36" s="78">
        <v>3.816633415225313</v>
      </c>
      <c r="G36" s="442"/>
      <c r="H36" s="450"/>
      <c r="I36" s="75">
        <f>H32/100*F36</f>
        <v>763.3266830450626</v>
      </c>
      <c r="J36" s="178"/>
      <c r="K36" s="245"/>
      <c r="L36" s="76"/>
      <c r="M36" s="133"/>
      <c r="N36" s="133"/>
      <c r="O36" s="72">
        <f t="shared" si="0"/>
        <v>763.3266830450626</v>
      </c>
      <c r="P36" s="72"/>
      <c r="Q36" s="72"/>
    </row>
    <row r="37" spans="1:17" ht="15.75">
      <c r="A37" s="202"/>
      <c r="B37" s="85"/>
      <c r="C37" s="83"/>
      <c r="D37" s="71" t="s">
        <v>47</v>
      </c>
      <c r="E37" s="72">
        <v>200.4</v>
      </c>
      <c r="F37" s="78">
        <v>8.260647331365728</v>
      </c>
      <c r="G37" s="443"/>
      <c r="H37" s="451"/>
      <c r="I37" s="75">
        <f>H32/100*F37</f>
        <v>1652.1294662731457</v>
      </c>
      <c r="J37" s="178"/>
      <c r="K37" s="77"/>
      <c r="L37" s="76"/>
      <c r="M37" s="133"/>
      <c r="N37" s="133"/>
      <c r="O37" s="72">
        <f t="shared" si="0"/>
        <v>1652.1294662731457</v>
      </c>
      <c r="P37" s="72"/>
      <c r="Q37" s="72"/>
    </row>
    <row r="38" spans="1:17" ht="15.75">
      <c r="A38" s="202"/>
      <c r="B38" s="85"/>
      <c r="C38" s="83">
        <v>20000</v>
      </c>
      <c r="D38" s="71" t="s">
        <v>41</v>
      </c>
      <c r="E38" s="72">
        <v>942.34</v>
      </c>
      <c r="F38" s="78">
        <v>38.844004023149594</v>
      </c>
      <c r="G38" s="441">
        <v>2010</v>
      </c>
      <c r="H38" s="438">
        <v>20000</v>
      </c>
      <c r="I38" s="75">
        <f>H38/100*F38</f>
        <v>7768.800804629919</v>
      </c>
      <c r="J38" s="178"/>
      <c r="K38" s="77"/>
      <c r="L38" s="76"/>
      <c r="M38" s="300"/>
      <c r="N38" s="133"/>
      <c r="O38" s="72">
        <f t="shared" si="0"/>
        <v>7768.800804629919</v>
      </c>
      <c r="P38" s="72"/>
      <c r="Q38" s="73"/>
    </row>
    <row r="39" spans="1:17" ht="16.5" customHeight="1">
      <c r="A39" s="202"/>
      <c r="B39" s="85"/>
      <c r="C39" s="83"/>
      <c r="D39" s="71" t="s">
        <v>43</v>
      </c>
      <c r="E39" s="72">
        <v>418.72</v>
      </c>
      <c r="F39" s="78">
        <v>17.259971310326634</v>
      </c>
      <c r="G39" s="442"/>
      <c r="H39" s="450"/>
      <c r="I39" s="75">
        <f>H38/100*F39</f>
        <v>3451.994262065327</v>
      </c>
      <c r="J39" s="178"/>
      <c r="K39" s="77"/>
      <c r="L39" s="76"/>
      <c r="M39" s="133"/>
      <c r="N39" s="133"/>
      <c r="O39" s="72">
        <f t="shared" si="0"/>
        <v>3451.994262065327</v>
      </c>
      <c r="P39" s="72"/>
      <c r="Q39" s="72"/>
    </row>
    <row r="40" spans="1:17" ht="16.5" customHeight="1">
      <c r="A40" s="202"/>
      <c r="B40" s="85"/>
      <c r="C40" s="83"/>
      <c r="D40" s="71" t="s">
        <v>44</v>
      </c>
      <c r="E40" s="72">
        <v>561.68</v>
      </c>
      <c r="F40" s="78">
        <v>23.152896173061382</v>
      </c>
      <c r="G40" s="442"/>
      <c r="H40" s="450"/>
      <c r="I40" s="75">
        <f>H38/100*F40</f>
        <v>4630.579234612276</v>
      </c>
      <c r="J40" s="178"/>
      <c r="K40" s="77"/>
      <c r="L40" s="76"/>
      <c r="M40" s="133"/>
      <c r="N40" s="133"/>
      <c r="O40" s="72">
        <f t="shared" si="0"/>
        <v>4630.579234612276</v>
      </c>
      <c r="P40" s="72"/>
      <c r="Q40" s="72"/>
    </row>
    <row r="41" spans="1:17" ht="16.5" customHeight="1">
      <c r="A41" s="202"/>
      <c r="B41" s="85"/>
      <c r="C41" s="83"/>
      <c r="D41" s="71" t="s">
        <v>45</v>
      </c>
      <c r="E41" s="72">
        <v>210.23</v>
      </c>
      <c r="F41" s="78">
        <v>8.665847746871341</v>
      </c>
      <c r="G41" s="442"/>
      <c r="H41" s="450"/>
      <c r="I41" s="75">
        <f>H38/100*F41</f>
        <v>1733.1695493742682</v>
      </c>
      <c r="J41" s="178"/>
      <c r="K41" s="77"/>
      <c r="L41" s="76"/>
      <c r="M41" s="133"/>
      <c r="N41" s="133"/>
      <c r="O41" s="72">
        <f t="shared" si="0"/>
        <v>1733.1695493742682</v>
      </c>
      <c r="P41" s="72"/>
      <c r="Q41" s="72"/>
    </row>
    <row r="42" spans="1:17" ht="16.5" customHeight="1">
      <c r="A42" s="202"/>
      <c r="B42" s="85"/>
      <c r="C42" s="83"/>
      <c r="D42" s="71" t="s">
        <v>46</v>
      </c>
      <c r="E42" s="72">
        <v>92.59</v>
      </c>
      <c r="F42" s="78">
        <v>3.816633415225313</v>
      </c>
      <c r="G42" s="442"/>
      <c r="H42" s="450"/>
      <c r="I42" s="75">
        <f>H38/100*F42</f>
        <v>763.3266830450626</v>
      </c>
      <c r="J42" s="178"/>
      <c r="K42" s="77"/>
      <c r="L42" s="76"/>
      <c r="M42" s="133"/>
      <c r="N42" s="133"/>
      <c r="O42" s="72">
        <f t="shared" si="0"/>
        <v>763.3266830450626</v>
      </c>
      <c r="P42" s="72"/>
      <c r="Q42" s="72"/>
    </row>
    <row r="43" spans="1:17" ht="16.5" customHeight="1">
      <c r="A43" s="203"/>
      <c r="B43" s="89"/>
      <c r="C43" s="135"/>
      <c r="D43" s="71" t="s">
        <v>47</v>
      </c>
      <c r="E43" s="72">
        <v>200.4</v>
      </c>
      <c r="F43" s="78">
        <v>8.260647331365728</v>
      </c>
      <c r="G43" s="443"/>
      <c r="H43" s="451"/>
      <c r="I43" s="75">
        <f>H38/100*F43</f>
        <v>1652.1294662731457</v>
      </c>
      <c r="J43" s="178"/>
      <c r="K43" s="77"/>
      <c r="L43" s="76"/>
      <c r="M43" s="133"/>
      <c r="N43" s="133"/>
      <c r="O43" s="72">
        <f t="shared" si="0"/>
        <v>1652.1294662731457</v>
      </c>
      <c r="P43" s="72"/>
      <c r="Q43" s="72"/>
    </row>
    <row r="44" spans="1:17" ht="31.5">
      <c r="A44" s="201" t="s">
        <v>42</v>
      </c>
      <c r="B44" s="101"/>
      <c r="C44" s="81">
        <v>20000</v>
      </c>
      <c r="D44" s="71" t="s">
        <v>41</v>
      </c>
      <c r="E44" s="72">
        <v>942.34</v>
      </c>
      <c r="F44" s="78">
        <v>38.844004023149594</v>
      </c>
      <c r="G44" s="441">
        <v>2011</v>
      </c>
      <c r="H44" s="438">
        <v>20000</v>
      </c>
      <c r="I44" s="75">
        <f>H44/100*F44</f>
        <v>7768.800804629919</v>
      </c>
      <c r="J44" s="178"/>
      <c r="K44" s="77"/>
      <c r="L44" s="76"/>
      <c r="M44" s="300"/>
      <c r="N44" s="133"/>
      <c r="O44" s="72">
        <f t="shared" si="0"/>
        <v>7768.800804629919</v>
      </c>
      <c r="P44" s="72"/>
      <c r="Q44" s="73"/>
    </row>
    <row r="45" spans="1:17" ht="15.75">
      <c r="A45" s="202"/>
      <c r="B45" s="85"/>
      <c r="C45" s="83"/>
      <c r="D45" s="71" t="s">
        <v>43</v>
      </c>
      <c r="E45" s="72">
        <v>418.72</v>
      </c>
      <c r="F45" s="78">
        <v>17.259971310326634</v>
      </c>
      <c r="G45" s="442"/>
      <c r="H45" s="450"/>
      <c r="I45" s="75">
        <f>H44/100*F45</f>
        <v>3451.994262065327</v>
      </c>
      <c r="J45" s="178"/>
      <c r="K45" s="77"/>
      <c r="L45" s="76"/>
      <c r="M45" s="133"/>
      <c r="N45" s="133"/>
      <c r="O45" s="72">
        <f t="shared" si="0"/>
        <v>3451.994262065327</v>
      </c>
      <c r="P45" s="72"/>
      <c r="Q45" s="72"/>
    </row>
    <row r="46" spans="1:17" ht="15.75">
      <c r="A46" s="202"/>
      <c r="B46" s="85"/>
      <c r="C46" s="83"/>
      <c r="D46" s="71" t="s">
        <v>44</v>
      </c>
      <c r="E46" s="72">
        <v>561.68</v>
      </c>
      <c r="F46" s="78">
        <v>23.152896173061382</v>
      </c>
      <c r="G46" s="442"/>
      <c r="H46" s="450"/>
      <c r="I46" s="75">
        <f>H44/100*F46</f>
        <v>4630.579234612276</v>
      </c>
      <c r="J46" s="178"/>
      <c r="K46" s="77"/>
      <c r="L46" s="76"/>
      <c r="M46" s="133"/>
      <c r="N46" s="133"/>
      <c r="O46" s="72">
        <f t="shared" si="0"/>
        <v>4630.579234612276</v>
      </c>
      <c r="P46" s="72"/>
      <c r="Q46" s="72"/>
    </row>
    <row r="47" spans="1:17" ht="15.75">
      <c r="A47" s="202"/>
      <c r="B47" s="85"/>
      <c r="C47" s="83"/>
      <c r="D47" s="71" t="s">
        <v>45</v>
      </c>
      <c r="E47" s="72">
        <v>210.23</v>
      </c>
      <c r="F47" s="78">
        <v>8.665847746871341</v>
      </c>
      <c r="G47" s="442"/>
      <c r="H47" s="450"/>
      <c r="I47" s="75">
        <f>H44/100*F47</f>
        <v>1733.1695493742682</v>
      </c>
      <c r="J47" s="178"/>
      <c r="K47" s="77"/>
      <c r="L47" s="76"/>
      <c r="M47" s="133"/>
      <c r="N47" s="133"/>
      <c r="O47" s="72">
        <f t="shared" si="0"/>
        <v>1733.1695493742682</v>
      </c>
      <c r="P47" s="72"/>
      <c r="Q47" s="72"/>
    </row>
    <row r="48" spans="1:17" ht="15.75">
      <c r="A48" s="202"/>
      <c r="B48" s="85"/>
      <c r="C48" s="83"/>
      <c r="D48" s="71" t="s">
        <v>46</v>
      </c>
      <c r="E48" s="72">
        <v>92.59</v>
      </c>
      <c r="F48" s="78">
        <v>3.816633415225313</v>
      </c>
      <c r="G48" s="442"/>
      <c r="H48" s="450"/>
      <c r="I48" s="75">
        <f>H44/100*F48</f>
        <v>763.3266830450626</v>
      </c>
      <c r="J48" s="178"/>
      <c r="K48" s="77"/>
      <c r="L48" s="76"/>
      <c r="M48" s="133"/>
      <c r="N48" s="133"/>
      <c r="O48" s="72">
        <f t="shared" si="0"/>
        <v>763.3266830450626</v>
      </c>
      <c r="P48" s="72"/>
      <c r="Q48" s="72"/>
    </row>
    <row r="49" spans="1:17" ht="15.75">
      <c r="A49" s="202"/>
      <c r="B49" s="85"/>
      <c r="C49" s="83"/>
      <c r="D49" s="71" t="s">
        <v>47</v>
      </c>
      <c r="E49" s="72">
        <v>200.4</v>
      </c>
      <c r="F49" s="78">
        <v>8.260647331365728</v>
      </c>
      <c r="G49" s="443"/>
      <c r="H49" s="451"/>
      <c r="I49" s="75">
        <f>H44/100*F49</f>
        <v>1652.1294662731457</v>
      </c>
      <c r="J49" s="178"/>
      <c r="K49" s="77"/>
      <c r="L49" s="76"/>
      <c r="M49" s="133"/>
      <c r="N49" s="133"/>
      <c r="O49" s="72">
        <f t="shared" si="0"/>
        <v>1652.1294662731457</v>
      </c>
      <c r="P49" s="72"/>
      <c r="Q49" s="72"/>
    </row>
    <row r="50" spans="1:17" ht="15.75">
      <c r="A50" s="202"/>
      <c r="B50" s="85"/>
      <c r="C50" s="83">
        <v>20000</v>
      </c>
      <c r="D50" s="71" t="s">
        <v>41</v>
      </c>
      <c r="E50" s="72">
        <v>942.34</v>
      </c>
      <c r="F50" s="78">
        <v>38.844004023149594</v>
      </c>
      <c r="G50" s="441">
        <v>2012</v>
      </c>
      <c r="H50" s="438">
        <v>23386</v>
      </c>
      <c r="I50" s="75">
        <f>H50/100*F50</f>
        <v>9084.058780853764</v>
      </c>
      <c r="J50" s="178"/>
      <c r="K50" s="77"/>
      <c r="L50" s="76"/>
      <c r="M50" s="133"/>
      <c r="N50" s="133"/>
      <c r="O50" s="72">
        <f t="shared" si="0"/>
        <v>9084.058780853764</v>
      </c>
      <c r="P50" s="72"/>
      <c r="Q50" s="72"/>
    </row>
    <row r="51" spans="1:17" ht="15.75">
      <c r="A51" s="202"/>
      <c r="B51" s="85"/>
      <c r="C51" s="83"/>
      <c r="D51" s="71" t="s">
        <v>43</v>
      </c>
      <c r="E51" s="72">
        <v>418.72</v>
      </c>
      <c r="F51" s="78">
        <v>17.259971310326634</v>
      </c>
      <c r="G51" s="442"/>
      <c r="H51" s="450"/>
      <c r="I51" s="75">
        <f>H50/100*F51</f>
        <v>4036.416890632987</v>
      </c>
      <c r="J51" s="178"/>
      <c r="K51" s="77"/>
      <c r="L51" s="76"/>
      <c r="M51" s="133"/>
      <c r="N51" s="133"/>
      <c r="O51" s="72">
        <f t="shared" si="0"/>
        <v>4036.416890632987</v>
      </c>
      <c r="P51" s="72"/>
      <c r="Q51" s="72"/>
    </row>
    <row r="52" spans="1:17" ht="15.75">
      <c r="A52" s="202"/>
      <c r="B52" s="85"/>
      <c r="C52" s="83"/>
      <c r="D52" s="71" t="s">
        <v>44</v>
      </c>
      <c r="E52" s="72">
        <v>561.68</v>
      </c>
      <c r="F52" s="78">
        <v>23.152896173061382</v>
      </c>
      <c r="G52" s="442"/>
      <c r="H52" s="450"/>
      <c r="I52" s="75">
        <f>H50/100*F52</f>
        <v>5414.5362990321355</v>
      </c>
      <c r="J52" s="178"/>
      <c r="K52" s="77"/>
      <c r="L52" s="76"/>
      <c r="M52" s="133"/>
      <c r="N52" s="133"/>
      <c r="O52" s="72">
        <f t="shared" si="0"/>
        <v>5414.5362990321355</v>
      </c>
      <c r="P52" s="72"/>
      <c r="Q52" s="72"/>
    </row>
    <row r="53" spans="1:17" ht="15.75">
      <c r="A53" s="202"/>
      <c r="B53" s="85"/>
      <c r="C53" s="83"/>
      <c r="D53" s="71" t="s">
        <v>45</v>
      </c>
      <c r="E53" s="72">
        <v>210.23</v>
      </c>
      <c r="F53" s="78">
        <v>8.665847746871341</v>
      </c>
      <c r="G53" s="442"/>
      <c r="H53" s="450"/>
      <c r="I53" s="75">
        <f>H50/100*F53</f>
        <v>2026.5951540833319</v>
      </c>
      <c r="J53" s="178"/>
      <c r="K53" s="77"/>
      <c r="L53" s="76"/>
      <c r="M53" s="133"/>
      <c r="N53" s="133"/>
      <c r="O53" s="72">
        <f t="shared" si="0"/>
        <v>2026.5951540833319</v>
      </c>
      <c r="P53" s="72"/>
      <c r="Q53" s="72"/>
    </row>
    <row r="54" spans="1:17" ht="15.75">
      <c r="A54" s="202"/>
      <c r="B54" s="85"/>
      <c r="C54" s="83"/>
      <c r="D54" s="71" t="s">
        <v>46</v>
      </c>
      <c r="E54" s="72">
        <v>92.59</v>
      </c>
      <c r="F54" s="78">
        <v>3.816633415225313</v>
      </c>
      <c r="G54" s="442"/>
      <c r="H54" s="450"/>
      <c r="I54" s="75">
        <f>H50/100*F54</f>
        <v>892.5578904845918</v>
      </c>
      <c r="J54" s="178"/>
      <c r="K54" s="77"/>
      <c r="L54" s="76"/>
      <c r="M54" s="133"/>
      <c r="N54" s="133"/>
      <c r="O54" s="72">
        <f t="shared" si="0"/>
        <v>892.5578904845918</v>
      </c>
      <c r="P54" s="72"/>
      <c r="Q54" s="72"/>
    </row>
    <row r="55" spans="1:17" ht="15.75">
      <c r="A55" s="202"/>
      <c r="B55" s="85"/>
      <c r="C55" s="83"/>
      <c r="D55" s="71" t="s">
        <v>47</v>
      </c>
      <c r="E55" s="72">
        <v>200.4</v>
      </c>
      <c r="F55" s="78">
        <v>8.260647331365728</v>
      </c>
      <c r="G55" s="443"/>
      <c r="H55" s="451"/>
      <c r="I55" s="75">
        <f>H50/100*F55</f>
        <v>1931.8349849131894</v>
      </c>
      <c r="J55" s="178"/>
      <c r="K55" s="77"/>
      <c r="L55" s="76"/>
      <c r="M55" s="133"/>
      <c r="N55" s="133"/>
      <c r="O55" s="72">
        <f t="shared" si="0"/>
        <v>1931.8349849131894</v>
      </c>
      <c r="P55" s="72"/>
      <c r="Q55" s="72"/>
    </row>
    <row r="56" spans="1:17" ht="15.75">
      <c r="A56" s="294"/>
      <c r="B56" s="85"/>
      <c r="C56" s="83">
        <v>30000</v>
      </c>
      <c r="D56" s="225" t="s">
        <v>41</v>
      </c>
      <c r="E56" s="226">
        <v>942.34</v>
      </c>
      <c r="F56" s="78">
        <v>38.844004023149594</v>
      </c>
      <c r="G56" s="441">
        <v>2013</v>
      </c>
      <c r="H56" s="438">
        <v>27661</v>
      </c>
      <c r="I56" s="75">
        <f>H56/100*F56</f>
        <v>10744.63995284341</v>
      </c>
      <c r="J56" s="178"/>
      <c r="K56" s="136"/>
      <c r="L56" s="76"/>
      <c r="M56" s="300"/>
      <c r="N56" s="133"/>
      <c r="O56" s="226">
        <f aca="true" t="shared" si="1" ref="O56:O61">I56-J56</f>
        <v>10744.63995284341</v>
      </c>
      <c r="P56" s="226"/>
      <c r="Q56" s="73"/>
    </row>
    <row r="57" spans="1:17" ht="15.75">
      <c r="A57" s="294"/>
      <c r="B57" s="85"/>
      <c r="C57" s="83"/>
      <c r="D57" s="225" t="s">
        <v>43</v>
      </c>
      <c r="E57" s="226">
        <v>418.72</v>
      </c>
      <c r="F57" s="78">
        <v>17.259971310326634</v>
      </c>
      <c r="G57" s="442"/>
      <c r="H57" s="450"/>
      <c r="I57" s="75">
        <f>H56/100*F57</f>
        <v>4774.280664149451</v>
      </c>
      <c r="J57" s="178"/>
      <c r="K57" s="77"/>
      <c r="L57" s="76"/>
      <c r="M57" s="133"/>
      <c r="N57" s="133"/>
      <c r="O57" s="226">
        <f t="shared" si="1"/>
        <v>4774.280664149451</v>
      </c>
      <c r="P57" s="226"/>
      <c r="Q57" s="226"/>
    </row>
    <row r="58" spans="1:17" ht="15.75">
      <c r="A58" s="294"/>
      <c r="B58" s="85"/>
      <c r="C58" s="83"/>
      <c r="D58" s="225" t="s">
        <v>44</v>
      </c>
      <c r="E58" s="226">
        <v>561.68</v>
      </c>
      <c r="F58" s="78">
        <v>23.152896173061382</v>
      </c>
      <c r="G58" s="442"/>
      <c r="H58" s="450"/>
      <c r="I58" s="75">
        <f>H56/100*F58</f>
        <v>6404.3226104305095</v>
      </c>
      <c r="J58" s="178"/>
      <c r="K58" s="77"/>
      <c r="L58" s="76"/>
      <c r="M58" s="133"/>
      <c r="N58" s="133"/>
      <c r="O58" s="226">
        <f t="shared" si="1"/>
        <v>6404.3226104305095</v>
      </c>
      <c r="P58" s="226"/>
      <c r="Q58" s="226"/>
    </row>
    <row r="59" spans="1:17" ht="15.75">
      <c r="A59" s="294"/>
      <c r="B59" s="85"/>
      <c r="C59" s="83"/>
      <c r="D59" s="225" t="s">
        <v>45</v>
      </c>
      <c r="E59" s="226">
        <v>210.23</v>
      </c>
      <c r="F59" s="78">
        <v>8.665847746871341</v>
      </c>
      <c r="G59" s="442"/>
      <c r="H59" s="450"/>
      <c r="I59" s="75">
        <f>H56/100*F59</f>
        <v>2397.0601452620817</v>
      </c>
      <c r="J59" s="178"/>
      <c r="K59" s="77"/>
      <c r="L59" s="76"/>
      <c r="M59" s="133"/>
      <c r="N59" s="133"/>
      <c r="O59" s="226">
        <f t="shared" si="1"/>
        <v>2397.0601452620817</v>
      </c>
      <c r="P59" s="226"/>
      <c r="Q59" s="226"/>
    </row>
    <row r="60" spans="1:17" ht="15.75">
      <c r="A60" s="294"/>
      <c r="B60" s="85"/>
      <c r="C60" s="83"/>
      <c r="D60" s="225" t="s">
        <v>46</v>
      </c>
      <c r="E60" s="226">
        <v>92.59</v>
      </c>
      <c r="F60" s="78">
        <v>3.816633415225313</v>
      </c>
      <c r="G60" s="442"/>
      <c r="H60" s="450"/>
      <c r="I60" s="75">
        <f>H56/100*F60</f>
        <v>1055.718968985474</v>
      </c>
      <c r="J60" s="178"/>
      <c r="K60" s="77"/>
      <c r="L60" s="76"/>
      <c r="M60" s="133"/>
      <c r="N60" s="133"/>
      <c r="O60" s="226">
        <f t="shared" si="1"/>
        <v>1055.718968985474</v>
      </c>
      <c r="P60" s="226"/>
      <c r="Q60" s="226"/>
    </row>
    <row r="61" spans="1:17" ht="15.75">
      <c r="A61" s="294"/>
      <c r="B61" s="85"/>
      <c r="C61" s="83"/>
      <c r="D61" s="225" t="s">
        <v>47</v>
      </c>
      <c r="E61" s="226">
        <v>200.4</v>
      </c>
      <c r="F61" s="78">
        <v>8.260647331365728</v>
      </c>
      <c r="G61" s="443"/>
      <c r="H61" s="451"/>
      <c r="I61" s="75">
        <f>H56/100*F61</f>
        <v>2284.977658329074</v>
      </c>
      <c r="J61" s="178"/>
      <c r="K61" s="77"/>
      <c r="L61" s="76"/>
      <c r="M61" s="133"/>
      <c r="N61" s="133"/>
      <c r="O61" s="226">
        <f t="shared" si="1"/>
        <v>2284.977658329074</v>
      </c>
      <c r="P61" s="226"/>
      <c r="Q61" s="226"/>
    </row>
    <row r="62" spans="1:17" ht="15.75">
      <c r="A62" s="140"/>
      <c r="B62" s="141"/>
      <c r="C62" s="141"/>
      <c r="D62" s="204" t="s">
        <v>27</v>
      </c>
      <c r="E62" s="141"/>
      <c r="F62" s="141"/>
      <c r="G62" s="142"/>
      <c r="H62" s="115">
        <f>SUM(H8:H61)</f>
        <v>182581</v>
      </c>
      <c r="I62" s="115">
        <f>SUM(I8:I61)</f>
        <v>182580.99999999997</v>
      </c>
      <c r="J62" s="168">
        <f>SUM(J8:J61)</f>
        <v>0</v>
      </c>
      <c r="K62" s="117"/>
      <c r="L62" s="139"/>
      <c r="M62" s="118"/>
      <c r="N62" s="118"/>
      <c r="O62" s="116">
        <f>SUM(O8:O61)</f>
        <v>182580.99999999997</v>
      </c>
      <c r="P62" s="110"/>
      <c r="Q62" s="110"/>
    </row>
    <row r="63" ht="15.75" thickBot="1">
      <c r="A63" s="371" t="s">
        <v>110</v>
      </c>
    </row>
    <row r="64" spans="4:12" ht="15">
      <c r="D64" s="398" t="s">
        <v>78</v>
      </c>
      <c r="E64" s="394" t="s">
        <v>75</v>
      </c>
      <c r="F64" s="394"/>
      <c r="G64" s="400"/>
      <c r="H64" s="400"/>
      <c r="I64" s="402" t="s">
        <v>76</v>
      </c>
      <c r="J64" s="404" t="s">
        <v>77</v>
      </c>
      <c r="K64" s="394" t="s">
        <v>79</v>
      </c>
      <c r="L64" s="396" t="s">
        <v>80</v>
      </c>
    </row>
    <row r="65" spans="3:12" ht="15.75" thickBot="1">
      <c r="C65" s="276"/>
      <c r="D65" s="469"/>
      <c r="E65" s="220" t="s">
        <v>81</v>
      </c>
      <c r="F65" s="220" t="s">
        <v>18</v>
      </c>
      <c r="G65" s="447"/>
      <c r="H65" s="447"/>
      <c r="I65" s="448"/>
      <c r="J65" s="464"/>
      <c r="K65" s="452"/>
      <c r="L65" s="453"/>
    </row>
    <row r="66" spans="3:12" ht="15.75">
      <c r="C66" s="277"/>
      <c r="D66" s="271" t="s">
        <v>41</v>
      </c>
      <c r="E66" s="110">
        <v>942.34</v>
      </c>
      <c r="F66" s="114">
        <v>38.844004023149594</v>
      </c>
      <c r="G66" s="111"/>
      <c r="H66" s="112"/>
      <c r="I66" s="106">
        <f aca="true" t="shared" si="2" ref="I66:I71">SUM(I50,I44,I38,I32,I26,I20,I14,I8,I56)</f>
        <v>70921.77098550677</v>
      </c>
      <c r="J66" s="302">
        <v>0</v>
      </c>
      <c r="K66" s="222"/>
      <c r="L66" s="259">
        <f aca="true" t="shared" si="3" ref="L66:L71">I66-J66</f>
        <v>70921.77098550677</v>
      </c>
    </row>
    <row r="67" spans="4:12" ht="15.75">
      <c r="D67" s="271" t="s">
        <v>43</v>
      </c>
      <c r="E67" s="110">
        <v>418.72</v>
      </c>
      <c r="F67" s="114">
        <v>17.259971310326634</v>
      </c>
      <c r="G67" s="111"/>
      <c r="H67" s="112"/>
      <c r="I67" s="106">
        <f t="shared" si="2"/>
        <v>31513.428218107474</v>
      </c>
      <c r="J67" s="222"/>
      <c r="K67" s="222"/>
      <c r="L67" s="259">
        <f t="shared" si="3"/>
        <v>31513.428218107474</v>
      </c>
    </row>
    <row r="68" spans="4:12" ht="15.75">
      <c r="D68" s="271" t="s">
        <v>44</v>
      </c>
      <c r="E68" s="110">
        <v>561.68</v>
      </c>
      <c r="F68" s="114">
        <v>23.152896173061382</v>
      </c>
      <c r="G68" s="111"/>
      <c r="H68" s="112"/>
      <c r="I68" s="106">
        <f t="shared" si="2"/>
        <v>42272.7893617372</v>
      </c>
      <c r="J68" s="222"/>
      <c r="K68" s="222"/>
      <c r="L68" s="259">
        <f t="shared" si="3"/>
        <v>42272.7893617372</v>
      </c>
    </row>
    <row r="69" spans="4:12" ht="15.75">
      <c r="D69" s="271" t="s">
        <v>45</v>
      </c>
      <c r="E69" s="110">
        <v>210.23</v>
      </c>
      <c r="F69" s="114">
        <v>8.665847746871341</v>
      </c>
      <c r="G69" s="111"/>
      <c r="H69" s="112"/>
      <c r="I69" s="106">
        <f t="shared" si="2"/>
        <v>15822.191474715162</v>
      </c>
      <c r="J69" s="222"/>
      <c r="K69" s="222"/>
      <c r="L69" s="259">
        <f t="shared" si="3"/>
        <v>15822.191474715162</v>
      </c>
    </row>
    <row r="70" spans="4:12" ht="15.75">
      <c r="D70" s="271" t="s">
        <v>46</v>
      </c>
      <c r="E70" s="110">
        <v>92.59</v>
      </c>
      <c r="F70" s="114">
        <v>3.816633415225313</v>
      </c>
      <c r="G70" s="111"/>
      <c r="H70" s="112"/>
      <c r="I70" s="106">
        <f t="shared" si="2"/>
        <v>6968.447455852529</v>
      </c>
      <c r="J70" s="302">
        <f>J36</f>
        <v>0</v>
      </c>
      <c r="K70" s="222"/>
      <c r="L70" s="259">
        <f t="shared" si="3"/>
        <v>6968.447455852529</v>
      </c>
    </row>
    <row r="71" spans="4:12" ht="15.75">
      <c r="D71" s="272" t="s">
        <v>47</v>
      </c>
      <c r="E71" s="130">
        <v>200.4</v>
      </c>
      <c r="F71" s="131">
        <v>8.260647331365728</v>
      </c>
      <c r="G71" s="111"/>
      <c r="H71" s="112"/>
      <c r="I71" s="106">
        <f t="shared" si="2"/>
        <v>15082.372504080857</v>
      </c>
      <c r="J71" s="222"/>
      <c r="K71" s="222"/>
      <c r="L71" s="259">
        <f t="shared" si="3"/>
        <v>15082.372504080857</v>
      </c>
    </row>
    <row r="72" spans="4:15" ht="16.5" thickBot="1">
      <c r="D72" s="273" t="s">
        <v>27</v>
      </c>
      <c r="E72" s="274"/>
      <c r="F72" s="274"/>
      <c r="G72" s="274"/>
      <c r="H72" s="274"/>
      <c r="I72" s="274">
        <f>SUM(I66:I71)</f>
        <v>182580.99999999997</v>
      </c>
      <c r="J72" s="274">
        <f>SUM(J66:J71)</f>
        <v>0</v>
      </c>
      <c r="K72" s="274">
        <f>SUM(K66:K71)</f>
        <v>0</v>
      </c>
      <c r="L72" s="275">
        <f>SUM(L66:L71)</f>
        <v>182580.99999999997</v>
      </c>
      <c r="O72" s="38"/>
    </row>
  </sheetData>
  <sheetProtection/>
  <mergeCells count="44">
    <mergeCell ref="G56:G61"/>
    <mergeCell ref="H56:H61"/>
    <mergeCell ref="H38:H43"/>
    <mergeCell ref="G32:G37"/>
    <mergeCell ref="H32:H37"/>
    <mergeCell ref="G26:G31"/>
    <mergeCell ref="H26:H31"/>
    <mergeCell ref="H44:H49"/>
    <mergeCell ref="G38:G43"/>
    <mergeCell ref="P5:P6"/>
    <mergeCell ref="Q5:Q6"/>
    <mergeCell ref="E7:F7"/>
    <mergeCell ref="G50:G55"/>
    <mergeCell ref="H50:H55"/>
    <mergeCell ref="G44:G49"/>
    <mergeCell ref="G14:G19"/>
    <mergeCell ref="H14:H19"/>
    <mergeCell ref="J5:J6"/>
    <mergeCell ref="K5:K6"/>
    <mergeCell ref="L5:L6"/>
    <mergeCell ref="M5:M6"/>
    <mergeCell ref="I5:I6"/>
    <mergeCell ref="G20:G25"/>
    <mergeCell ref="H20:H25"/>
    <mergeCell ref="G8:G13"/>
    <mergeCell ref="H8:H13"/>
    <mergeCell ref="N5:N6"/>
    <mergeCell ref="O5:O6"/>
    <mergeCell ref="A1:Q2"/>
    <mergeCell ref="A4:A6"/>
    <mergeCell ref="B4:B6"/>
    <mergeCell ref="C4:C6"/>
    <mergeCell ref="D4:D6"/>
    <mergeCell ref="E4:F5"/>
    <mergeCell ref="G4:Q4"/>
    <mergeCell ref="G5:H5"/>
    <mergeCell ref="K64:K65"/>
    <mergeCell ref="L64:L65"/>
    <mergeCell ref="D64:D65"/>
    <mergeCell ref="E64:F64"/>
    <mergeCell ref="G64:G65"/>
    <mergeCell ref="H64:H65"/>
    <mergeCell ref="I64:I65"/>
    <mergeCell ref="J64:J65"/>
  </mergeCells>
  <printOptions/>
  <pageMargins left="0.65" right="0.95" top="0.75" bottom="0.75" header="0.3" footer="0.3"/>
  <pageSetup fitToHeight="0" fitToWidth="1" horizontalDpi="600" verticalDpi="600" orientation="landscape" paperSize="9" scale="56" r:id="rId1"/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6">
      <selection activeCell="F38" sqref="F38"/>
    </sheetView>
  </sheetViews>
  <sheetFormatPr defaultColWidth="9.140625" defaultRowHeight="15"/>
  <cols>
    <col min="1" max="1" width="19.7109375" style="0" customWidth="1"/>
    <col min="2" max="2" width="12.28125" style="0" customWidth="1"/>
    <col min="4" max="4" width="14.57421875" style="0" customWidth="1"/>
    <col min="6" max="6" width="14.8515625" style="0" customWidth="1"/>
    <col min="9" max="9" width="10.421875" style="0" customWidth="1"/>
    <col min="10" max="10" width="12.7109375" style="0" bestFit="1" customWidth="1"/>
    <col min="11" max="11" width="17.57421875" style="0" customWidth="1"/>
    <col min="13" max="13" width="13.00390625" style="0" customWidth="1"/>
    <col min="16" max="16" width="9.7109375" style="0" customWidth="1"/>
    <col min="17" max="17" width="15.28125" style="0" customWidth="1"/>
  </cols>
  <sheetData>
    <row r="1" spans="1:17" ht="15" customHeight="1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73" t="s">
        <v>6</v>
      </c>
      <c r="F4" s="474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75"/>
      <c r="F5" s="476"/>
      <c r="G5" s="417" t="s">
        <v>7</v>
      </c>
      <c r="H5" s="419"/>
      <c r="I5" s="410" t="s">
        <v>8</v>
      </c>
      <c r="J5" s="410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2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17" t="s">
        <v>48</v>
      </c>
      <c r="B8" s="101" t="s">
        <v>26</v>
      </c>
      <c r="C8" s="70">
        <v>20000</v>
      </c>
      <c r="D8" s="71" t="s">
        <v>31</v>
      </c>
      <c r="E8" s="72">
        <v>74.55</v>
      </c>
      <c r="F8" s="78">
        <v>37.41342968985246</v>
      </c>
      <c r="G8" s="441">
        <v>2007</v>
      </c>
      <c r="H8" s="441">
        <v>5378</v>
      </c>
      <c r="I8" s="75">
        <f>H8/100*F8</f>
        <v>2012.094248720265</v>
      </c>
      <c r="J8" s="76">
        <v>0</v>
      </c>
      <c r="K8" s="77"/>
      <c r="L8" s="91"/>
      <c r="M8" s="144"/>
      <c r="N8" s="133"/>
      <c r="O8" s="72">
        <f>I8-J8</f>
        <v>2012.094248720265</v>
      </c>
      <c r="P8" s="71"/>
      <c r="Q8" s="72"/>
    </row>
    <row r="9" spans="1:17" ht="15.75">
      <c r="A9" s="218"/>
      <c r="B9" s="85" t="s">
        <v>95</v>
      </c>
      <c r="C9" s="70"/>
      <c r="D9" s="71" t="s">
        <v>49</v>
      </c>
      <c r="E9" s="72">
        <v>76.71</v>
      </c>
      <c r="F9" s="78">
        <v>38.497440529960855</v>
      </c>
      <c r="G9" s="442"/>
      <c r="H9" s="442"/>
      <c r="I9" s="71">
        <f>H8/100*F9</f>
        <v>2070.392351701295</v>
      </c>
      <c r="J9" s="76">
        <v>0</v>
      </c>
      <c r="K9" s="77"/>
      <c r="L9" s="76"/>
      <c r="M9" s="133"/>
      <c r="N9" s="133"/>
      <c r="O9" s="72">
        <f aca="true" t="shared" si="0" ref="O9:O25">I9-J9</f>
        <v>2070.392351701295</v>
      </c>
      <c r="P9" s="72"/>
      <c r="Q9" s="72"/>
    </row>
    <row r="10" spans="1:17" ht="15.75">
      <c r="A10" s="218"/>
      <c r="B10" s="85"/>
      <c r="C10" s="70"/>
      <c r="D10" s="71" t="s">
        <v>35</v>
      </c>
      <c r="E10" s="72">
        <v>48</v>
      </c>
      <c r="F10" s="78">
        <v>24.089129780186692</v>
      </c>
      <c r="G10" s="443"/>
      <c r="H10" s="443"/>
      <c r="I10" s="71">
        <f>H8/100*F10</f>
        <v>1295.5133995784404</v>
      </c>
      <c r="J10" s="76"/>
      <c r="K10" s="77"/>
      <c r="L10" s="76"/>
      <c r="M10" s="133"/>
      <c r="N10" s="133"/>
      <c r="O10" s="72">
        <f t="shared" si="0"/>
        <v>1295.5133995784404</v>
      </c>
      <c r="P10" s="72"/>
      <c r="Q10" s="72"/>
    </row>
    <row r="11" spans="1:17" ht="15.75">
      <c r="A11" s="218"/>
      <c r="B11" s="85"/>
      <c r="C11" s="70">
        <v>20000</v>
      </c>
      <c r="D11" s="71" t="s">
        <v>31</v>
      </c>
      <c r="E11" s="72">
        <v>74.55</v>
      </c>
      <c r="F11" s="78">
        <v>37.41342968985246</v>
      </c>
      <c r="G11" s="441">
        <v>2008</v>
      </c>
      <c r="H11" s="441">
        <v>20000</v>
      </c>
      <c r="I11" s="75">
        <f>H11/100*F11</f>
        <v>7482.685937970491</v>
      </c>
      <c r="J11" s="76">
        <v>0</v>
      </c>
      <c r="K11" s="77"/>
      <c r="L11" s="76"/>
      <c r="M11" s="133"/>
      <c r="N11" s="133"/>
      <c r="O11" s="72">
        <f t="shared" si="0"/>
        <v>7482.685937970491</v>
      </c>
      <c r="P11" s="72"/>
      <c r="Q11" s="72"/>
    </row>
    <row r="12" spans="1:17" ht="15.75">
      <c r="A12" s="218"/>
      <c r="B12" s="85"/>
      <c r="C12" s="70"/>
      <c r="D12" s="71" t="s">
        <v>49</v>
      </c>
      <c r="E12" s="72">
        <v>76.71</v>
      </c>
      <c r="F12" s="78">
        <v>38.497440529960855</v>
      </c>
      <c r="G12" s="442"/>
      <c r="H12" s="442"/>
      <c r="I12" s="71">
        <f>H11/100*F12</f>
        <v>7699.488105992171</v>
      </c>
      <c r="J12" s="76"/>
      <c r="K12" s="77"/>
      <c r="L12" s="76"/>
      <c r="M12" s="133"/>
      <c r="N12" s="133"/>
      <c r="O12" s="72">
        <f t="shared" si="0"/>
        <v>7699.488105992171</v>
      </c>
      <c r="P12" s="72"/>
      <c r="Q12" s="72"/>
    </row>
    <row r="13" spans="1:17" ht="15.75">
      <c r="A13" s="218"/>
      <c r="B13" s="85"/>
      <c r="C13" s="70"/>
      <c r="D13" s="71" t="s">
        <v>35</v>
      </c>
      <c r="E13" s="72">
        <v>48</v>
      </c>
      <c r="F13" s="78">
        <v>24.089129780186692</v>
      </c>
      <c r="G13" s="443"/>
      <c r="H13" s="443"/>
      <c r="I13" s="71">
        <f>H11/100*F13</f>
        <v>4817.825956037338</v>
      </c>
      <c r="J13" s="76"/>
      <c r="K13" s="77"/>
      <c r="L13" s="76"/>
      <c r="M13" s="133"/>
      <c r="N13" s="133"/>
      <c r="O13" s="72">
        <f t="shared" si="0"/>
        <v>4817.825956037338</v>
      </c>
      <c r="P13" s="72"/>
      <c r="Q13" s="72"/>
    </row>
    <row r="14" spans="1:17" ht="15.75">
      <c r="A14" s="218"/>
      <c r="B14" s="85"/>
      <c r="C14" s="70">
        <v>20000</v>
      </c>
      <c r="D14" s="71" t="s">
        <v>31</v>
      </c>
      <c r="E14" s="72">
        <v>74.55</v>
      </c>
      <c r="F14" s="78">
        <v>37.41342968985246</v>
      </c>
      <c r="G14" s="441">
        <v>2009</v>
      </c>
      <c r="H14" s="441">
        <v>20000</v>
      </c>
      <c r="I14" s="75">
        <f>H14/100*F14</f>
        <v>7482.685937970491</v>
      </c>
      <c r="J14" s="178"/>
      <c r="K14" s="245"/>
      <c r="L14" s="76"/>
      <c r="M14" s="133"/>
      <c r="N14" s="133"/>
      <c r="O14" s="72">
        <f t="shared" si="0"/>
        <v>7482.685937970491</v>
      </c>
      <c r="P14" s="72"/>
      <c r="Q14" s="72"/>
    </row>
    <row r="15" spans="1:17" ht="15.75">
      <c r="A15" s="218"/>
      <c r="B15" s="85"/>
      <c r="C15" s="70"/>
      <c r="D15" s="71" t="s">
        <v>49</v>
      </c>
      <c r="E15" s="72">
        <v>76.71</v>
      </c>
      <c r="F15" s="78">
        <v>38.497440529960855</v>
      </c>
      <c r="G15" s="442"/>
      <c r="H15" s="442"/>
      <c r="I15" s="71">
        <f>H14/100*F15</f>
        <v>7699.488105992171</v>
      </c>
      <c r="J15" s="76"/>
      <c r="K15" s="77"/>
      <c r="L15" s="76"/>
      <c r="M15" s="133"/>
      <c r="N15" s="133"/>
      <c r="O15" s="72">
        <f t="shared" si="0"/>
        <v>7699.488105992171</v>
      </c>
      <c r="P15" s="72"/>
      <c r="Q15" s="72"/>
    </row>
    <row r="16" spans="1:17" ht="15.75">
      <c r="A16" s="218"/>
      <c r="B16" s="85"/>
      <c r="C16" s="70"/>
      <c r="D16" s="71" t="s">
        <v>35</v>
      </c>
      <c r="E16" s="72">
        <v>48</v>
      </c>
      <c r="F16" s="78">
        <v>24.089129780186692</v>
      </c>
      <c r="G16" s="443"/>
      <c r="H16" s="443"/>
      <c r="I16" s="71">
        <f>H14/100*F16</f>
        <v>4817.825956037338</v>
      </c>
      <c r="J16" s="76"/>
      <c r="K16" s="77"/>
      <c r="L16" s="76"/>
      <c r="M16" s="133"/>
      <c r="N16" s="133"/>
      <c r="O16" s="72">
        <f t="shared" si="0"/>
        <v>4817.825956037338</v>
      </c>
      <c r="P16" s="72"/>
      <c r="Q16" s="72"/>
    </row>
    <row r="17" spans="1:17" ht="15.75">
      <c r="A17" s="218"/>
      <c r="B17" s="85"/>
      <c r="C17" s="70">
        <v>20000</v>
      </c>
      <c r="D17" s="71" t="s">
        <v>31</v>
      </c>
      <c r="E17" s="72">
        <v>74.55</v>
      </c>
      <c r="F17" s="78">
        <v>37.41342968985246</v>
      </c>
      <c r="G17" s="441">
        <v>2010</v>
      </c>
      <c r="H17" s="441">
        <v>20000</v>
      </c>
      <c r="I17" s="75">
        <f>H17/100*F17</f>
        <v>7482.685937970491</v>
      </c>
      <c r="J17" s="178"/>
      <c r="K17" s="77"/>
      <c r="L17" s="76"/>
      <c r="M17" s="300"/>
      <c r="N17" s="133"/>
      <c r="O17" s="72">
        <f t="shared" si="0"/>
        <v>7482.685937970491</v>
      </c>
      <c r="P17" s="72"/>
      <c r="Q17" s="73"/>
    </row>
    <row r="18" spans="1:17" ht="15.75">
      <c r="A18" s="218"/>
      <c r="B18" s="85"/>
      <c r="C18" s="70"/>
      <c r="D18" s="71" t="s">
        <v>49</v>
      </c>
      <c r="E18" s="72">
        <v>76.71</v>
      </c>
      <c r="F18" s="78">
        <v>38.497440529960855</v>
      </c>
      <c r="G18" s="442"/>
      <c r="H18" s="442"/>
      <c r="I18" s="71">
        <f>H17/100*F18</f>
        <v>7699.488105992171</v>
      </c>
      <c r="J18" s="178"/>
      <c r="K18" s="77"/>
      <c r="L18" s="76"/>
      <c r="M18" s="133"/>
      <c r="N18" s="133"/>
      <c r="O18" s="72">
        <f t="shared" si="0"/>
        <v>7699.488105992171</v>
      </c>
      <c r="P18" s="72"/>
      <c r="Q18" s="72"/>
    </row>
    <row r="19" spans="1:17" ht="15.75">
      <c r="A19" s="218"/>
      <c r="B19" s="85"/>
      <c r="C19" s="70"/>
      <c r="D19" s="71" t="s">
        <v>35</v>
      </c>
      <c r="E19" s="72">
        <v>48</v>
      </c>
      <c r="F19" s="78">
        <v>24.089129780186692</v>
      </c>
      <c r="G19" s="443"/>
      <c r="H19" s="443"/>
      <c r="I19" s="71">
        <f>H17/100*F19</f>
        <v>4817.825956037338</v>
      </c>
      <c r="J19" s="178"/>
      <c r="K19" s="77"/>
      <c r="L19" s="76"/>
      <c r="M19" s="133"/>
      <c r="N19" s="133"/>
      <c r="O19" s="72">
        <f t="shared" si="0"/>
        <v>4817.825956037338</v>
      </c>
      <c r="P19" s="72"/>
      <c r="Q19" s="72"/>
    </row>
    <row r="20" spans="1:17" ht="15.75">
      <c r="A20" s="218"/>
      <c r="B20" s="85"/>
      <c r="C20" s="70">
        <v>20000</v>
      </c>
      <c r="D20" s="71" t="s">
        <v>31</v>
      </c>
      <c r="E20" s="72">
        <v>74.55</v>
      </c>
      <c r="F20" s="78">
        <v>37.41342968985246</v>
      </c>
      <c r="G20" s="441">
        <v>2011</v>
      </c>
      <c r="H20" s="441">
        <v>20000</v>
      </c>
      <c r="I20" s="75">
        <f>H20/100*F20</f>
        <v>7482.685937970491</v>
      </c>
      <c r="J20" s="303"/>
      <c r="K20" s="77"/>
      <c r="L20" s="76"/>
      <c r="M20" s="300"/>
      <c r="N20" s="133"/>
      <c r="O20" s="72">
        <f t="shared" si="0"/>
        <v>7482.685937970491</v>
      </c>
      <c r="P20" s="72"/>
      <c r="Q20" s="73"/>
    </row>
    <row r="21" spans="1:17" ht="15.75">
      <c r="A21" s="218"/>
      <c r="B21" s="85"/>
      <c r="C21" s="70"/>
      <c r="D21" s="71" t="s">
        <v>49</v>
      </c>
      <c r="E21" s="72">
        <v>76.71</v>
      </c>
      <c r="F21" s="78">
        <v>38.497440529960855</v>
      </c>
      <c r="G21" s="442"/>
      <c r="H21" s="442"/>
      <c r="I21" s="71">
        <f>H20/100*F21</f>
        <v>7699.488105992171</v>
      </c>
      <c r="J21" s="178"/>
      <c r="K21" s="77"/>
      <c r="L21" s="76"/>
      <c r="M21" s="133"/>
      <c r="N21" s="133"/>
      <c r="O21" s="72">
        <f t="shared" si="0"/>
        <v>7699.488105992171</v>
      </c>
      <c r="P21" s="72"/>
      <c r="Q21" s="72"/>
    </row>
    <row r="22" spans="1:17" ht="15.75">
      <c r="A22" s="218"/>
      <c r="B22" s="85"/>
      <c r="C22" s="70"/>
      <c r="D22" s="71" t="s">
        <v>35</v>
      </c>
      <c r="E22" s="72">
        <v>48</v>
      </c>
      <c r="F22" s="78">
        <v>24.089129780186692</v>
      </c>
      <c r="G22" s="443"/>
      <c r="H22" s="443"/>
      <c r="I22" s="71">
        <f>H20/100*F22</f>
        <v>4817.825956037338</v>
      </c>
      <c r="J22" s="178"/>
      <c r="K22" s="77"/>
      <c r="L22" s="76"/>
      <c r="M22" s="133"/>
      <c r="N22" s="133"/>
      <c r="O22" s="72">
        <f t="shared" si="0"/>
        <v>4817.825956037338</v>
      </c>
      <c r="P22" s="72"/>
      <c r="Q22" s="72"/>
    </row>
    <row r="23" spans="1:17" ht="15.75">
      <c r="A23" s="218"/>
      <c r="B23" s="85"/>
      <c r="C23" s="70">
        <v>20000</v>
      </c>
      <c r="D23" s="71" t="s">
        <v>31</v>
      </c>
      <c r="E23" s="72">
        <v>74.55</v>
      </c>
      <c r="F23" s="78">
        <v>37.41342968985246</v>
      </c>
      <c r="G23" s="441">
        <v>2012</v>
      </c>
      <c r="H23" s="441">
        <v>23333</v>
      </c>
      <c r="I23" s="75">
        <f>H23/100*F23</f>
        <v>8729.675549533275</v>
      </c>
      <c r="J23" s="303"/>
      <c r="K23" s="77"/>
      <c r="L23" s="76"/>
      <c r="M23" s="300"/>
      <c r="N23" s="133"/>
      <c r="O23" s="72">
        <f t="shared" si="0"/>
        <v>8729.675549533275</v>
      </c>
      <c r="P23" s="72"/>
      <c r="Q23" s="73"/>
    </row>
    <row r="24" spans="1:17" ht="15.75">
      <c r="A24" s="218"/>
      <c r="B24" s="85"/>
      <c r="C24" s="70"/>
      <c r="D24" s="71" t="s">
        <v>49</v>
      </c>
      <c r="E24" s="72">
        <v>76.71</v>
      </c>
      <c r="F24" s="78">
        <v>38.497440529960855</v>
      </c>
      <c r="G24" s="442"/>
      <c r="H24" s="442"/>
      <c r="I24" s="71">
        <f>H23/100*F24</f>
        <v>8982.607798855766</v>
      </c>
      <c r="J24" s="178"/>
      <c r="K24" s="77"/>
      <c r="L24" s="76"/>
      <c r="M24" s="133"/>
      <c r="N24" s="133"/>
      <c r="O24" s="72">
        <f t="shared" si="0"/>
        <v>8982.607798855766</v>
      </c>
      <c r="P24" s="72"/>
      <c r="Q24" s="72"/>
    </row>
    <row r="25" spans="1:17" ht="15.75">
      <c r="A25" s="218"/>
      <c r="B25" s="85"/>
      <c r="C25" s="70"/>
      <c r="D25" s="71" t="s">
        <v>35</v>
      </c>
      <c r="E25" s="72">
        <v>48</v>
      </c>
      <c r="F25" s="78">
        <v>24.089129780186692</v>
      </c>
      <c r="G25" s="443"/>
      <c r="H25" s="443"/>
      <c r="I25" s="71">
        <f>H23/100*F25</f>
        <v>5620.716651610961</v>
      </c>
      <c r="J25" s="178"/>
      <c r="K25" s="77"/>
      <c r="L25" s="76"/>
      <c r="M25" s="133"/>
      <c r="N25" s="133"/>
      <c r="O25" s="72">
        <f t="shared" si="0"/>
        <v>5620.716651610961</v>
      </c>
      <c r="P25" s="72"/>
      <c r="Q25" s="72"/>
    </row>
    <row r="26" spans="1:17" ht="15.75">
      <c r="A26" s="294"/>
      <c r="B26" s="85"/>
      <c r="C26" s="70">
        <v>30000</v>
      </c>
      <c r="D26" s="225" t="s">
        <v>31</v>
      </c>
      <c r="E26" s="226">
        <v>74.55</v>
      </c>
      <c r="F26" s="78">
        <v>37.41342968985246</v>
      </c>
      <c r="G26" s="441">
        <v>2013</v>
      </c>
      <c r="H26" s="441">
        <v>22000</v>
      </c>
      <c r="I26" s="75">
        <f>H26/100*F26</f>
        <v>8230.95453176754</v>
      </c>
      <c r="J26" s="303"/>
      <c r="K26" s="77"/>
      <c r="L26" s="76"/>
      <c r="M26" s="300"/>
      <c r="N26" s="133"/>
      <c r="O26" s="226">
        <f>I26-J26</f>
        <v>8230.95453176754</v>
      </c>
      <c r="P26" s="226"/>
      <c r="Q26" s="73"/>
    </row>
    <row r="27" spans="1:17" ht="15.75">
      <c r="A27" s="294"/>
      <c r="B27" s="85"/>
      <c r="C27" s="119"/>
      <c r="D27" s="225" t="s">
        <v>49</v>
      </c>
      <c r="E27" s="226">
        <v>76.71</v>
      </c>
      <c r="F27" s="78">
        <v>38.497440529960855</v>
      </c>
      <c r="G27" s="442"/>
      <c r="H27" s="442"/>
      <c r="I27" s="225">
        <f>H26/100*F27</f>
        <v>8469.436916591389</v>
      </c>
      <c r="J27" s="178"/>
      <c r="K27" s="77"/>
      <c r="L27" s="76"/>
      <c r="M27" s="133"/>
      <c r="N27" s="133"/>
      <c r="O27" s="226">
        <f>I27-J27</f>
        <v>8469.436916591389</v>
      </c>
      <c r="P27" s="226"/>
      <c r="Q27" s="226"/>
    </row>
    <row r="28" spans="1:17" ht="15.75">
      <c r="A28" s="294"/>
      <c r="B28" s="85"/>
      <c r="C28" s="119"/>
      <c r="D28" s="225" t="s">
        <v>35</v>
      </c>
      <c r="E28" s="226">
        <v>48</v>
      </c>
      <c r="F28" s="78">
        <v>24.089129780186692</v>
      </c>
      <c r="G28" s="443"/>
      <c r="H28" s="443"/>
      <c r="I28" s="225">
        <f>H26/100*F28</f>
        <v>5299.608551641072</v>
      </c>
      <c r="J28" s="178"/>
      <c r="K28" s="77"/>
      <c r="L28" s="76"/>
      <c r="M28" s="133"/>
      <c r="N28" s="133"/>
      <c r="O28" s="226">
        <f>I28-J28</f>
        <v>5299.608551641072</v>
      </c>
      <c r="P28" s="226"/>
      <c r="Q28" s="226"/>
    </row>
    <row r="29" spans="1:17" ht="15.75">
      <c r="A29" s="470" t="s">
        <v>54</v>
      </c>
      <c r="B29" s="471"/>
      <c r="C29" s="471"/>
      <c r="D29" s="471"/>
      <c r="E29" s="471"/>
      <c r="F29" s="472"/>
      <c r="G29" s="116"/>
      <c r="H29" s="125">
        <f>SUM(H8:H28)</f>
        <v>130711</v>
      </c>
      <c r="I29" s="125">
        <f>SUM(I8:I28)</f>
        <v>130711.00000000001</v>
      </c>
      <c r="J29" s="168">
        <f>SUM(J9:J28)</f>
        <v>0</v>
      </c>
      <c r="K29" s="117"/>
      <c r="L29" s="139"/>
      <c r="M29" s="118"/>
      <c r="N29" s="118"/>
      <c r="O29" s="116">
        <f>SUM(O8:O28)</f>
        <v>130711.00000000001</v>
      </c>
      <c r="P29" s="110"/>
      <c r="Q29" s="110"/>
    </row>
    <row r="30" ht="15">
      <c r="J30" s="306"/>
    </row>
    <row r="31" spans="1:10" ht="15.75" thickBot="1">
      <c r="A31" s="371" t="s">
        <v>110</v>
      </c>
      <c r="J31" s="306"/>
    </row>
    <row r="32" spans="3:12" ht="15">
      <c r="C32" s="51"/>
      <c r="D32" s="398" t="s">
        <v>78</v>
      </c>
      <c r="E32" s="394" t="s">
        <v>75</v>
      </c>
      <c r="F32" s="394"/>
      <c r="G32" s="400"/>
      <c r="H32" s="400"/>
      <c r="I32" s="402" t="s">
        <v>76</v>
      </c>
      <c r="J32" s="404" t="s">
        <v>77</v>
      </c>
      <c r="K32" s="394" t="s">
        <v>79</v>
      </c>
      <c r="L32" s="396" t="s">
        <v>80</v>
      </c>
    </row>
    <row r="33" spans="3:12" ht="15">
      <c r="C33" s="51"/>
      <c r="D33" s="399"/>
      <c r="E33" s="250" t="s">
        <v>81</v>
      </c>
      <c r="F33" s="250" t="s">
        <v>18</v>
      </c>
      <c r="G33" s="401"/>
      <c r="H33" s="401"/>
      <c r="I33" s="403"/>
      <c r="J33" s="405"/>
      <c r="K33" s="395"/>
      <c r="L33" s="397"/>
    </row>
    <row r="34" spans="3:12" ht="15.75">
      <c r="C34" s="257"/>
      <c r="D34" s="271" t="s">
        <v>31</v>
      </c>
      <c r="E34" s="110">
        <v>74.55</v>
      </c>
      <c r="F34" s="114">
        <v>37.41342968985246</v>
      </c>
      <c r="G34" s="222"/>
      <c r="H34" s="222"/>
      <c r="I34" s="106">
        <f>SUM(I23,I20,I17,I14,I11,I8,I26)</f>
        <v>48903.46808190305</v>
      </c>
      <c r="J34" s="307">
        <f>J29</f>
        <v>0</v>
      </c>
      <c r="K34" s="222"/>
      <c r="L34" s="259">
        <f>I34-J34</f>
        <v>48903.46808190305</v>
      </c>
    </row>
    <row r="35" spans="3:12" ht="15.75">
      <c r="C35" s="51"/>
      <c r="D35" s="271" t="s">
        <v>49</v>
      </c>
      <c r="E35" s="110">
        <v>76.71</v>
      </c>
      <c r="F35" s="114">
        <v>38.497440529960855</v>
      </c>
      <c r="G35" s="222"/>
      <c r="H35" s="222"/>
      <c r="I35" s="106">
        <f>SUM(I24,I21,I18,I15,I12,I9,I27)</f>
        <v>50320.38949111714</v>
      </c>
      <c r="J35" s="222"/>
      <c r="K35" s="222"/>
      <c r="L35" s="259">
        <f>I35-J35</f>
        <v>50320.38949111714</v>
      </c>
    </row>
    <row r="36" spans="3:12" ht="15.75">
      <c r="C36" s="51"/>
      <c r="D36" s="271" t="s">
        <v>35</v>
      </c>
      <c r="E36" s="110">
        <v>48</v>
      </c>
      <c r="F36" s="114">
        <v>24.089129780186692</v>
      </c>
      <c r="G36" s="222"/>
      <c r="H36" s="222"/>
      <c r="I36" s="106">
        <f>SUM(I25,I22,I19,I16,I13,I10,I28)</f>
        <v>31487.142426979823</v>
      </c>
      <c r="J36" s="222"/>
      <c r="K36" s="222"/>
      <c r="L36" s="259">
        <f>I36-J36</f>
        <v>31487.142426979823</v>
      </c>
    </row>
    <row r="37" spans="3:12" ht="15.75" hidden="1">
      <c r="C37" s="51"/>
      <c r="D37" s="308"/>
      <c r="E37" s="309"/>
      <c r="F37" s="310"/>
      <c r="G37" s="311"/>
      <c r="H37" s="311"/>
      <c r="I37" s="312"/>
      <c r="J37" s="306"/>
      <c r="K37" s="311"/>
      <c r="L37" s="259">
        <f>I37-J37</f>
        <v>0</v>
      </c>
    </row>
    <row r="38" spans="4:12" ht="16.5" thickBot="1">
      <c r="D38" s="278" t="s">
        <v>27</v>
      </c>
      <c r="E38" s="279"/>
      <c r="F38" s="279"/>
      <c r="G38" s="279"/>
      <c r="H38" s="279"/>
      <c r="I38" s="279">
        <f>SUM(I34:I36)</f>
        <v>130711</v>
      </c>
      <c r="J38" s="279">
        <f>SUM(J34:J37)+J30</f>
        <v>0</v>
      </c>
      <c r="K38" s="279">
        <f>SUM(K34:K36)</f>
        <v>0</v>
      </c>
      <c r="L38" s="280">
        <f>SUM(L34:L37)</f>
        <v>130711</v>
      </c>
    </row>
  </sheetData>
  <sheetProtection/>
  <mergeCells count="41">
    <mergeCell ref="G32:G33"/>
    <mergeCell ref="H32:H33"/>
    <mergeCell ref="G11:G13"/>
    <mergeCell ref="H23:H25"/>
    <mergeCell ref="G20:G22"/>
    <mergeCell ref="E32:F32"/>
    <mergeCell ref="G8:G10"/>
    <mergeCell ref="H8:H10"/>
    <mergeCell ref="H20:H22"/>
    <mergeCell ref="L5:L6"/>
    <mergeCell ref="G23:G25"/>
    <mergeCell ref="E7:F7"/>
    <mergeCell ref="G14:G16"/>
    <mergeCell ref="H14:H16"/>
    <mergeCell ref="O5:O6"/>
    <mergeCell ref="H17:H19"/>
    <mergeCell ref="H11:H13"/>
    <mergeCell ref="I32:I33"/>
    <mergeCell ref="H26:H28"/>
    <mergeCell ref="M5:M6"/>
    <mergeCell ref="I5:I6"/>
    <mergeCell ref="A1:Q2"/>
    <mergeCell ref="A4:A6"/>
    <mergeCell ref="B4:B6"/>
    <mergeCell ref="C4:C6"/>
    <mergeCell ref="D4:D6"/>
    <mergeCell ref="K5:K6"/>
    <mergeCell ref="N5:N6"/>
    <mergeCell ref="P5:P6"/>
    <mergeCell ref="E4:F5"/>
    <mergeCell ref="G4:Q4"/>
    <mergeCell ref="Q5:Q6"/>
    <mergeCell ref="G5:H5"/>
    <mergeCell ref="J32:J33"/>
    <mergeCell ref="A29:F29"/>
    <mergeCell ref="G26:G28"/>
    <mergeCell ref="G17:G19"/>
    <mergeCell ref="D32:D33"/>
    <mergeCell ref="L32:L33"/>
    <mergeCell ref="K32:K33"/>
    <mergeCell ref="J5:J6"/>
  </mergeCells>
  <printOptions/>
  <pageMargins left="0.7" right="0.95" top="0.75" bottom="0.75" header="0.3" footer="0.3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80" zoomScaleNormal="80" zoomScalePageLayoutView="0" workbookViewId="0" topLeftCell="A13">
      <selection activeCell="H32" sqref="H32:H33"/>
    </sheetView>
  </sheetViews>
  <sheetFormatPr defaultColWidth="9.140625" defaultRowHeight="15"/>
  <cols>
    <col min="1" max="1" width="16.7109375" style="0" customWidth="1"/>
    <col min="2" max="2" width="11.57421875" style="0" customWidth="1"/>
    <col min="4" max="4" width="14.00390625" style="0" customWidth="1"/>
    <col min="8" max="8" width="12.7109375" style="0" bestFit="1" customWidth="1"/>
    <col min="10" max="10" width="11.8515625" style="0" customWidth="1"/>
    <col min="11" max="11" width="49.421875" style="0" customWidth="1"/>
    <col min="13" max="13" width="14.421875" style="0" customWidth="1"/>
    <col min="14" max="14" width="11.7109375" style="0" customWidth="1"/>
    <col min="17" max="17" width="12.28125" style="0" customWidth="1"/>
  </cols>
  <sheetData>
    <row r="1" spans="1:17" ht="15" customHeight="1">
      <c r="A1" s="406" t="s">
        <v>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73" t="s">
        <v>6</v>
      </c>
      <c r="F4" s="474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75"/>
      <c r="F5" s="476"/>
      <c r="G5" s="417" t="s">
        <v>7</v>
      </c>
      <c r="H5" s="419"/>
      <c r="I5" s="410" t="s">
        <v>8</v>
      </c>
      <c r="J5" s="410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2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295" t="s">
        <v>50</v>
      </c>
      <c r="B8" s="101" t="s">
        <v>51</v>
      </c>
      <c r="C8" s="134">
        <v>20000</v>
      </c>
      <c r="D8" s="225" t="s">
        <v>30</v>
      </c>
      <c r="E8" s="226">
        <v>1033.64</v>
      </c>
      <c r="F8" s="78">
        <v>41.59282776825451</v>
      </c>
      <c r="G8" s="438">
        <v>2007</v>
      </c>
      <c r="H8" s="477">
        <v>5378</v>
      </c>
      <c r="I8" s="75">
        <f>H8/100*F8</f>
        <v>2236.8622773767274</v>
      </c>
      <c r="J8" s="76">
        <v>0</v>
      </c>
      <c r="K8" s="77"/>
      <c r="L8" s="76"/>
      <c r="M8" s="133"/>
      <c r="N8" s="133"/>
      <c r="O8" s="226">
        <f>I8-J8</f>
        <v>2236.8622773767274</v>
      </c>
      <c r="P8" s="225"/>
      <c r="Q8" s="226"/>
    </row>
    <row r="9" spans="1:17" ht="15.75">
      <c r="A9" s="296"/>
      <c r="B9" s="85" t="s">
        <v>95</v>
      </c>
      <c r="C9" s="134"/>
      <c r="D9" s="225" t="s">
        <v>52</v>
      </c>
      <c r="E9" s="226">
        <v>1325.54</v>
      </c>
      <c r="F9" s="78">
        <v>53.33864490531721</v>
      </c>
      <c r="G9" s="450"/>
      <c r="H9" s="478"/>
      <c r="I9" s="225">
        <f>H8/100*F9</f>
        <v>2868.55232300796</v>
      </c>
      <c r="J9" s="76">
        <v>0</v>
      </c>
      <c r="K9" s="77"/>
      <c r="L9" s="76"/>
      <c r="M9" s="133"/>
      <c r="N9" s="133"/>
      <c r="O9" s="226">
        <f aca="true" t="shared" si="0" ref="O9:O28">I9-J9</f>
        <v>2868.55232300796</v>
      </c>
      <c r="P9" s="226"/>
      <c r="Q9" s="226"/>
    </row>
    <row r="10" spans="1:17" ht="15.75">
      <c r="A10" s="296"/>
      <c r="B10" s="85"/>
      <c r="C10" s="134"/>
      <c r="D10" s="225" t="s">
        <v>53</v>
      </c>
      <c r="E10" s="226">
        <v>125.96</v>
      </c>
      <c r="F10" s="78">
        <v>5.068527326428289</v>
      </c>
      <c r="G10" s="451"/>
      <c r="H10" s="479"/>
      <c r="I10" s="225">
        <f>H8/100*F10</f>
        <v>272.5853996153134</v>
      </c>
      <c r="J10" s="76"/>
      <c r="K10" s="77"/>
      <c r="L10" s="76"/>
      <c r="M10" s="133"/>
      <c r="N10" s="133"/>
      <c r="O10" s="226">
        <f t="shared" si="0"/>
        <v>272.5853996153134</v>
      </c>
      <c r="P10" s="226"/>
      <c r="Q10" s="226"/>
    </row>
    <row r="11" spans="1:17" ht="15.75">
      <c r="A11" s="296"/>
      <c r="B11" s="85"/>
      <c r="C11" s="134">
        <v>20000</v>
      </c>
      <c r="D11" s="225" t="s">
        <v>30</v>
      </c>
      <c r="E11" s="226">
        <v>1033.64</v>
      </c>
      <c r="F11" s="78">
        <v>41.59282776825451</v>
      </c>
      <c r="G11" s="438">
        <v>2008</v>
      </c>
      <c r="H11" s="477">
        <v>20000</v>
      </c>
      <c r="I11" s="75">
        <f>H11/100*F11</f>
        <v>8318.565553650902</v>
      </c>
      <c r="J11" s="76">
        <v>0</v>
      </c>
      <c r="K11" s="77"/>
      <c r="L11" s="76"/>
      <c r="M11" s="133"/>
      <c r="N11" s="133"/>
      <c r="O11" s="226">
        <f t="shared" si="0"/>
        <v>8318.565553650902</v>
      </c>
      <c r="P11" s="226"/>
      <c r="Q11" s="226"/>
    </row>
    <row r="12" spans="1:17" ht="15.75">
      <c r="A12" s="296"/>
      <c r="B12" s="85"/>
      <c r="C12" s="134"/>
      <c r="D12" s="225" t="s">
        <v>52</v>
      </c>
      <c r="E12" s="226">
        <v>1325.54</v>
      </c>
      <c r="F12" s="78">
        <v>53.33864490531721</v>
      </c>
      <c r="G12" s="450"/>
      <c r="H12" s="478"/>
      <c r="I12" s="225">
        <f>H11/100*F12</f>
        <v>10667.728981063443</v>
      </c>
      <c r="J12" s="76"/>
      <c r="K12" s="77"/>
      <c r="L12" s="76"/>
      <c r="M12" s="133"/>
      <c r="N12" s="133"/>
      <c r="O12" s="226">
        <f t="shared" si="0"/>
        <v>10667.728981063443</v>
      </c>
      <c r="P12" s="226"/>
      <c r="Q12" s="226"/>
    </row>
    <row r="13" spans="1:17" ht="15.75">
      <c r="A13" s="296"/>
      <c r="B13" s="85"/>
      <c r="C13" s="134"/>
      <c r="D13" s="225" t="s">
        <v>53</v>
      </c>
      <c r="E13" s="226">
        <v>125.96</v>
      </c>
      <c r="F13" s="78">
        <v>5.068527326428289</v>
      </c>
      <c r="G13" s="451"/>
      <c r="H13" s="479"/>
      <c r="I13" s="225">
        <f>H11/100*F13</f>
        <v>1013.7054652856579</v>
      </c>
      <c r="J13" s="76"/>
      <c r="K13" s="77"/>
      <c r="L13" s="76"/>
      <c r="M13" s="133"/>
      <c r="N13" s="133"/>
      <c r="O13" s="226">
        <f t="shared" si="0"/>
        <v>1013.7054652856579</v>
      </c>
      <c r="P13" s="226"/>
      <c r="Q13" s="226"/>
    </row>
    <row r="14" spans="1:17" ht="15.75">
      <c r="A14" s="296"/>
      <c r="B14" s="85"/>
      <c r="C14" s="134">
        <v>20000</v>
      </c>
      <c r="D14" s="225" t="s">
        <v>30</v>
      </c>
      <c r="E14" s="226">
        <v>1033.64</v>
      </c>
      <c r="F14" s="78">
        <v>41.59282776825451</v>
      </c>
      <c r="G14" s="438">
        <v>2009</v>
      </c>
      <c r="H14" s="477">
        <v>20000</v>
      </c>
      <c r="I14" s="75">
        <f>H14/100*F14</f>
        <v>8318.565553650902</v>
      </c>
      <c r="J14" s="480"/>
      <c r="K14" s="483"/>
      <c r="L14" s="486"/>
      <c r="M14" s="486"/>
      <c r="N14" s="486"/>
      <c r="O14" s="226">
        <f t="shared" si="0"/>
        <v>8318.565553650902</v>
      </c>
      <c r="P14" s="226"/>
      <c r="Q14" s="226"/>
    </row>
    <row r="15" spans="1:17" ht="15.75">
      <c r="A15" s="296"/>
      <c r="B15" s="85"/>
      <c r="C15" s="134"/>
      <c r="D15" s="225" t="s">
        <v>52</v>
      </c>
      <c r="E15" s="226">
        <v>1325.54</v>
      </c>
      <c r="F15" s="78">
        <v>53.33864490531721</v>
      </c>
      <c r="G15" s="450"/>
      <c r="H15" s="478"/>
      <c r="I15" s="225">
        <f>H14/100*F15</f>
        <v>10667.728981063443</v>
      </c>
      <c r="J15" s="481"/>
      <c r="K15" s="484"/>
      <c r="L15" s="487"/>
      <c r="M15" s="487"/>
      <c r="N15" s="487"/>
      <c r="O15" s="226">
        <f t="shared" si="0"/>
        <v>10667.728981063443</v>
      </c>
      <c r="P15" s="226"/>
      <c r="Q15" s="226"/>
    </row>
    <row r="16" spans="1:17" ht="15.75">
      <c r="A16" s="296"/>
      <c r="B16" s="85"/>
      <c r="C16" s="134"/>
      <c r="D16" s="225" t="s">
        <v>53</v>
      </c>
      <c r="E16" s="226">
        <v>125.96</v>
      </c>
      <c r="F16" s="78">
        <v>5.068527326428289</v>
      </c>
      <c r="G16" s="451"/>
      <c r="H16" s="479"/>
      <c r="I16" s="225">
        <f>H14/100*F16</f>
        <v>1013.7054652856579</v>
      </c>
      <c r="J16" s="482"/>
      <c r="K16" s="485"/>
      <c r="L16" s="488"/>
      <c r="M16" s="488"/>
      <c r="N16" s="488"/>
      <c r="O16" s="226">
        <f t="shared" si="0"/>
        <v>1013.7054652856579</v>
      </c>
      <c r="P16" s="226"/>
      <c r="Q16" s="226"/>
    </row>
    <row r="17" spans="1:17" ht="15.75">
      <c r="A17" s="296"/>
      <c r="B17" s="85"/>
      <c r="C17" s="134">
        <v>20000</v>
      </c>
      <c r="D17" s="225" t="s">
        <v>30</v>
      </c>
      <c r="E17" s="226">
        <v>1033.64</v>
      </c>
      <c r="F17" s="78">
        <v>41.59282776825451</v>
      </c>
      <c r="G17" s="438">
        <v>2010</v>
      </c>
      <c r="H17" s="477">
        <v>20000</v>
      </c>
      <c r="I17" s="75">
        <f>H17/100*F17</f>
        <v>8318.565553650902</v>
      </c>
      <c r="J17" s="76"/>
      <c r="K17" s="77"/>
      <c r="L17" s="76"/>
      <c r="M17" s="133"/>
      <c r="N17" s="133"/>
      <c r="O17" s="226">
        <f t="shared" si="0"/>
        <v>8318.565553650902</v>
      </c>
      <c r="P17" s="226"/>
      <c r="Q17" s="226"/>
    </row>
    <row r="18" spans="1:17" ht="15.75">
      <c r="A18" s="296"/>
      <c r="B18" s="85"/>
      <c r="C18" s="134"/>
      <c r="D18" s="225" t="s">
        <v>52</v>
      </c>
      <c r="E18" s="226">
        <v>1325.54</v>
      </c>
      <c r="F18" s="78">
        <v>53.33864490531721</v>
      </c>
      <c r="G18" s="450"/>
      <c r="H18" s="478"/>
      <c r="I18" s="225">
        <f>H17/100*F18</f>
        <v>10667.728981063443</v>
      </c>
      <c r="J18" s="76"/>
      <c r="K18" s="77"/>
      <c r="L18" s="76"/>
      <c r="M18" s="133"/>
      <c r="N18" s="133"/>
      <c r="O18" s="226">
        <f t="shared" si="0"/>
        <v>10667.728981063443</v>
      </c>
      <c r="P18" s="226"/>
      <c r="Q18" s="226"/>
    </row>
    <row r="19" spans="1:17" ht="15.75">
      <c r="A19" s="296"/>
      <c r="B19" s="85"/>
      <c r="C19" s="134"/>
      <c r="D19" s="225" t="s">
        <v>53</v>
      </c>
      <c r="E19" s="226">
        <v>125.96</v>
      </c>
      <c r="F19" s="78">
        <v>5.068527326428289</v>
      </c>
      <c r="G19" s="451"/>
      <c r="H19" s="479"/>
      <c r="I19" s="225">
        <f>H17/100*F19</f>
        <v>1013.7054652856579</v>
      </c>
      <c r="J19" s="76"/>
      <c r="K19" s="77"/>
      <c r="L19" s="76"/>
      <c r="M19" s="133"/>
      <c r="N19" s="133"/>
      <c r="O19" s="226">
        <f t="shared" si="0"/>
        <v>1013.7054652856579</v>
      </c>
      <c r="P19" s="226"/>
      <c r="Q19" s="226"/>
    </row>
    <row r="20" spans="1:17" ht="15.75" customHeight="1">
      <c r="A20" s="296"/>
      <c r="B20" s="85"/>
      <c r="C20" s="134">
        <v>20000</v>
      </c>
      <c r="D20" s="225" t="s">
        <v>30</v>
      </c>
      <c r="E20" s="226">
        <v>1033.64</v>
      </c>
      <c r="F20" s="78">
        <v>41.59282776825451</v>
      </c>
      <c r="G20" s="438">
        <v>2011</v>
      </c>
      <c r="H20" s="477">
        <v>20000</v>
      </c>
      <c r="I20" s="75">
        <f>H20/100*F20</f>
        <v>8318.565553650902</v>
      </c>
      <c r="J20" s="480"/>
      <c r="K20" s="489"/>
      <c r="L20" s="486"/>
      <c r="M20" s="492"/>
      <c r="N20" s="486"/>
      <c r="O20" s="226">
        <f t="shared" si="0"/>
        <v>8318.565553650902</v>
      </c>
      <c r="P20" s="226"/>
      <c r="Q20" s="495"/>
    </row>
    <row r="21" spans="1:17" ht="15.75">
      <c r="A21" s="296"/>
      <c r="B21" s="85"/>
      <c r="C21" s="134"/>
      <c r="D21" s="225" t="s">
        <v>52</v>
      </c>
      <c r="E21" s="226">
        <v>1325.54</v>
      </c>
      <c r="F21" s="78">
        <v>53.33864490531721</v>
      </c>
      <c r="G21" s="450"/>
      <c r="H21" s="478"/>
      <c r="I21" s="225">
        <f>H20/100*F21</f>
        <v>10667.728981063443</v>
      </c>
      <c r="J21" s="481"/>
      <c r="K21" s="490"/>
      <c r="L21" s="487"/>
      <c r="M21" s="493"/>
      <c r="N21" s="487"/>
      <c r="O21" s="226">
        <f t="shared" si="0"/>
        <v>10667.728981063443</v>
      </c>
      <c r="P21" s="226"/>
      <c r="Q21" s="496"/>
    </row>
    <row r="22" spans="1:17" ht="15.75">
      <c r="A22" s="296"/>
      <c r="B22" s="85"/>
      <c r="C22" s="134"/>
      <c r="D22" s="225" t="s">
        <v>53</v>
      </c>
      <c r="E22" s="226">
        <v>125.96</v>
      </c>
      <c r="F22" s="78">
        <v>5.068527326428289</v>
      </c>
      <c r="G22" s="451"/>
      <c r="H22" s="479"/>
      <c r="I22" s="225">
        <f>H20/100*F22</f>
        <v>1013.7054652856579</v>
      </c>
      <c r="J22" s="482"/>
      <c r="K22" s="491"/>
      <c r="L22" s="488"/>
      <c r="M22" s="494"/>
      <c r="N22" s="488"/>
      <c r="O22" s="226">
        <f t="shared" si="0"/>
        <v>1013.7054652856579</v>
      </c>
      <c r="P22" s="226"/>
      <c r="Q22" s="497"/>
    </row>
    <row r="23" spans="1:17" ht="15.75" customHeight="1">
      <c r="A23" s="296"/>
      <c r="B23" s="85"/>
      <c r="C23" s="134">
        <v>20000</v>
      </c>
      <c r="D23" s="225" t="s">
        <v>30</v>
      </c>
      <c r="E23" s="226">
        <v>1033.64</v>
      </c>
      <c r="F23" s="78">
        <v>41.59282776825451</v>
      </c>
      <c r="G23" s="438">
        <v>2012</v>
      </c>
      <c r="H23" s="477">
        <v>23333</v>
      </c>
      <c r="I23" s="75">
        <f>H23/100*F23</f>
        <v>9704.854503166825</v>
      </c>
      <c r="J23" s="480"/>
      <c r="K23" s="489"/>
      <c r="L23" s="486"/>
      <c r="M23" s="492"/>
      <c r="N23" s="486"/>
      <c r="O23" s="226">
        <f t="shared" si="0"/>
        <v>9704.854503166825</v>
      </c>
      <c r="P23" s="226"/>
      <c r="Q23" s="495"/>
    </row>
    <row r="24" spans="1:17" ht="15.75">
      <c r="A24" s="296"/>
      <c r="B24" s="85"/>
      <c r="C24" s="134"/>
      <c r="D24" s="225" t="s">
        <v>52</v>
      </c>
      <c r="E24" s="226">
        <v>1325.54</v>
      </c>
      <c r="F24" s="78">
        <v>53.33864490531721</v>
      </c>
      <c r="G24" s="450"/>
      <c r="H24" s="478"/>
      <c r="I24" s="225">
        <f>H23/100*F24</f>
        <v>12445.506015757664</v>
      </c>
      <c r="J24" s="481"/>
      <c r="K24" s="490"/>
      <c r="L24" s="487"/>
      <c r="M24" s="493"/>
      <c r="N24" s="487"/>
      <c r="O24" s="226">
        <f t="shared" si="0"/>
        <v>12445.506015757664</v>
      </c>
      <c r="P24" s="226"/>
      <c r="Q24" s="496"/>
    </row>
    <row r="25" spans="1:17" ht="15.75">
      <c r="A25" s="296"/>
      <c r="B25" s="85"/>
      <c r="C25" s="134"/>
      <c r="D25" s="225" t="s">
        <v>53</v>
      </c>
      <c r="E25" s="226">
        <v>125.96</v>
      </c>
      <c r="F25" s="78">
        <v>5.068527326428289</v>
      </c>
      <c r="G25" s="451"/>
      <c r="H25" s="479"/>
      <c r="I25" s="225">
        <f>H23/100*F25</f>
        <v>1182.6394810755128</v>
      </c>
      <c r="J25" s="482"/>
      <c r="K25" s="491"/>
      <c r="L25" s="488"/>
      <c r="M25" s="494"/>
      <c r="N25" s="488"/>
      <c r="O25" s="226">
        <f t="shared" si="0"/>
        <v>1182.6394810755128</v>
      </c>
      <c r="P25" s="226"/>
      <c r="Q25" s="497"/>
    </row>
    <row r="26" spans="1:17" ht="15.75" customHeight="1">
      <c r="A26" s="296"/>
      <c r="B26" s="85"/>
      <c r="C26" s="134">
        <v>30000</v>
      </c>
      <c r="D26" s="225" t="s">
        <v>30</v>
      </c>
      <c r="E26" s="226">
        <v>1033.64</v>
      </c>
      <c r="F26" s="78">
        <v>41.59282776825451</v>
      </c>
      <c r="G26" s="438">
        <v>2013</v>
      </c>
      <c r="H26" s="477">
        <v>22000</v>
      </c>
      <c r="I26" s="75">
        <f>H26/100*F26</f>
        <v>9150.422109015992</v>
      </c>
      <c r="J26" s="76"/>
      <c r="K26" s="489"/>
      <c r="L26" s="486"/>
      <c r="M26" s="492"/>
      <c r="N26" s="486"/>
      <c r="O26" s="226">
        <f t="shared" si="0"/>
        <v>9150.422109015992</v>
      </c>
      <c r="P26" s="226"/>
      <c r="Q26" s="495"/>
    </row>
    <row r="27" spans="1:17" ht="15.75">
      <c r="A27" s="296"/>
      <c r="B27" s="85"/>
      <c r="C27" s="119"/>
      <c r="D27" s="225" t="s">
        <v>52</v>
      </c>
      <c r="E27" s="226">
        <v>1325.54</v>
      </c>
      <c r="F27" s="78">
        <v>53.33864490531721</v>
      </c>
      <c r="G27" s="450"/>
      <c r="H27" s="478"/>
      <c r="I27" s="225">
        <f>H26/100*F27</f>
        <v>11734.501879169786</v>
      </c>
      <c r="J27" s="178"/>
      <c r="K27" s="490"/>
      <c r="L27" s="487"/>
      <c r="M27" s="493"/>
      <c r="N27" s="487"/>
      <c r="O27" s="226">
        <f t="shared" si="0"/>
        <v>11734.501879169786</v>
      </c>
      <c r="P27" s="226"/>
      <c r="Q27" s="496"/>
    </row>
    <row r="28" spans="1:17" ht="15.75">
      <c r="A28" s="296"/>
      <c r="B28" s="85"/>
      <c r="C28" s="119"/>
      <c r="D28" s="225" t="s">
        <v>53</v>
      </c>
      <c r="E28" s="226">
        <v>125.96</v>
      </c>
      <c r="F28" s="78">
        <v>5.068527326428289</v>
      </c>
      <c r="G28" s="451"/>
      <c r="H28" s="479"/>
      <c r="I28" s="225">
        <f>H26/100*F28</f>
        <v>1115.0760118142236</v>
      </c>
      <c r="J28" s="76"/>
      <c r="K28" s="491"/>
      <c r="L28" s="488"/>
      <c r="M28" s="494"/>
      <c r="N28" s="488"/>
      <c r="O28" s="226">
        <f t="shared" si="0"/>
        <v>1115.0760118142236</v>
      </c>
      <c r="P28" s="226"/>
      <c r="Q28" s="497"/>
    </row>
    <row r="29" spans="1:17" ht="23.25" customHeight="1">
      <c r="A29" s="498" t="s">
        <v>27</v>
      </c>
      <c r="B29" s="499"/>
      <c r="C29" s="500"/>
      <c r="D29" s="500"/>
      <c r="E29" s="500"/>
      <c r="F29" s="500"/>
      <c r="G29" s="501"/>
      <c r="H29" s="145">
        <f>SUM(H8:H28)</f>
        <v>130711</v>
      </c>
      <c r="I29" s="146">
        <f>SUM(I8:I28)</f>
        <v>130711.00000000001</v>
      </c>
      <c r="J29" s="145">
        <f>SUM(J8:J28)</f>
        <v>0</v>
      </c>
      <c r="K29" s="147"/>
      <c r="L29" s="147"/>
      <c r="M29" s="147"/>
      <c r="N29" s="147"/>
      <c r="O29" s="148">
        <f>SUM(O8:O28)</f>
        <v>130711.00000000001</v>
      </c>
      <c r="P29" s="149"/>
      <c r="Q29" s="149"/>
    </row>
    <row r="31" ht="16.5" thickBot="1">
      <c r="A31" s="372" t="s">
        <v>110</v>
      </c>
    </row>
    <row r="32" spans="3:12" ht="15">
      <c r="C32" s="51"/>
      <c r="D32" s="398" t="s">
        <v>78</v>
      </c>
      <c r="E32" s="394" t="s">
        <v>75</v>
      </c>
      <c r="F32" s="394"/>
      <c r="G32" s="400"/>
      <c r="H32" s="400"/>
      <c r="I32" s="402" t="s">
        <v>76</v>
      </c>
      <c r="J32" s="404" t="s">
        <v>77</v>
      </c>
      <c r="K32" s="394" t="s">
        <v>79</v>
      </c>
      <c r="L32" s="396" t="s">
        <v>80</v>
      </c>
    </row>
    <row r="33" spans="3:12" ht="15.75" thickBot="1">
      <c r="C33" s="51"/>
      <c r="D33" s="469"/>
      <c r="E33" s="220" t="s">
        <v>81</v>
      </c>
      <c r="F33" s="220" t="s">
        <v>18</v>
      </c>
      <c r="G33" s="447"/>
      <c r="H33" s="447"/>
      <c r="I33" s="448"/>
      <c r="J33" s="464"/>
      <c r="K33" s="452"/>
      <c r="L33" s="453"/>
    </row>
    <row r="34" spans="3:12" ht="15.75">
      <c r="C34" s="257"/>
      <c r="D34" s="271" t="s">
        <v>30</v>
      </c>
      <c r="E34" s="110">
        <v>1033.64</v>
      </c>
      <c r="F34" s="114">
        <v>41.59282776825451</v>
      </c>
      <c r="G34" s="222"/>
      <c r="H34" s="222"/>
      <c r="I34" s="106">
        <f>SUM(I26,I23,I20,I17,I14,I11,I8)</f>
        <v>54366.401104163146</v>
      </c>
      <c r="J34" s="106">
        <f>SUM(J26,J23,J20,J17,J14,J11,J8)</f>
        <v>0</v>
      </c>
      <c r="K34" s="222"/>
      <c r="L34" s="259">
        <f>I34-J34</f>
        <v>54366.401104163146</v>
      </c>
    </row>
    <row r="35" spans="3:12" ht="15.75">
      <c r="C35" s="51"/>
      <c r="D35" s="271" t="s">
        <v>52</v>
      </c>
      <c r="E35" s="110">
        <v>1325.54</v>
      </c>
      <c r="F35" s="114">
        <v>53.33864490531721</v>
      </c>
      <c r="G35" s="222"/>
      <c r="H35" s="222"/>
      <c r="I35" s="106">
        <f>SUM(I27,I24,I21,I18,I15,I12,I9)</f>
        <v>69719.47614218917</v>
      </c>
      <c r="J35" s="106">
        <v>0</v>
      </c>
      <c r="K35" s="222"/>
      <c r="L35" s="259">
        <f>I35-J35</f>
        <v>69719.47614218917</v>
      </c>
    </row>
    <row r="36" spans="4:12" ht="15.75">
      <c r="D36" s="271" t="s">
        <v>53</v>
      </c>
      <c r="E36" s="110">
        <v>125.96</v>
      </c>
      <c r="F36" s="114">
        <v>5.068527326428289</v>
      </c>
      <c r="G36" s="222"/>
      <c r="H36" s="222"/>
      <c r="I36" s="106">
        <f>SUM(I28,I25,I22,I19,I16,I13,I10)</f>
        <v>6625.122753647681</v>
      </c>
      <c r="J36" s="106">
        <f>SUM(J28,J25,J22,J19,J16,J13,J10)</f>
        <v>0</v>
      </c>
      <c r="K36" s="222"/>
      <c r="L36" s="259">
        <f>I36-J36</f>
        <v>6625.122753647681</v>
      </c>
    </row>
    <row r="37" spans="4:12" ht="15.75" hidden="1">
      <c r="D37" s="308"/>
      <c r="E37" s="309"/>
      <c r="F37" s="310"/>
      <c r="G37" s="311"/>
      <c r="H37" s="311"/>
      <c r="I37" s="312"/>
      <c r="J37" s="312"/>
      <c r="K37" s="311"/>
      <c r="L37" s="313"/>
    </row>
    <row r="38" spans="4:15" ht="16.5" thickBot="1">
      <c r="D38" s="278" t="s">
        <v>27</v>
      </c>
      <c r="E38" s="279"/>
      <c r="F38" s="279"/>
      <c r="G38" s="279"/>
      <c r="H38" s="279"/>
      <c r="I38" s="279">
        <f>SUM(I34:I36)</f>
        <v>130711</v>
      </c>
      <c r="J38" s="279">
        <f>SUM(J34:J36)</f>
        <v>0</v>
      </c>
      <c r="K38" s="279">
        <f>SUM(K34:K36)</f>
        <v>0</v>
      </c>
      <c r="L38" s="280">
        <f>SUM(L34:L36)</f>
        <v>130711</v>
      </c>
      <c r="O38" s="38"/>
    </row>
  </sheetData>
  <sheetProtection/>
  <mergeCells count="63">
    <mergeCell ref="Q26:Q28"/>
    <mergeCell ref="G26:G28"/>
    <mergeCell ref="H26:H28"/>
    <mergeCell ref="J32:J33"/>
    <mergeCell ref="K32:K33"/>
    <mergeCell ref="L32:L33"/>
    <mergeCell ref="A29:G29"/>
    <mergeCell ref="D32:D33"/>
    <mergeCell ref="E32:F32"/>
    <mergeCell ref="G32:G33"/>
    <mergeCell ref="K26:K28"/>
    <mergeCell ref="L26:L28"/>
    <mergeCell ref="M26:M28"/>
    <mergeCell ref="N26:N28"/>
    <mergeCell ref="H32:H33"/>
    <mergeCell ref="I32:I33"/>
    <mergeCell ref="Q20:Q22"/>
    <mergeCell ref="G23:G25"/>
    <mergeCell ref="H23:H25"/>
    <mergeCell ref="J23:J25"/>
    <mergeCell ref="K23:K25"/>
    <mergeCell ref="L23:L25"/>
    <mergeCell ref="M23:M25"/>
    <mergeCell ref="N23:N25"/>
    <mergeCell ref="Q23:Q25"/>
    <mergeCell ref="N14:N16"/>
    <mergeCell ref="G17:G19"/>
    <mergeCell ref="H17:H19"/>
    <mergeCell ref="G20:G22"/>
    <mergeCell ref="H20:H22"/>
    <mergeCell ref="J20:J22"/>
    <mergeCell ref="K20:K22"/>
    <mergeCell ref="L20:L22"/>
    <mergeCell ref="M20:M22"/>
    <mergeCell ref="N20:N22"/>
    <mergeCell ref="G14:G16"/>
    <mergeCell ref="H14:H16"/>
    <mergeCell ref="J14:J16"/>
    <mergeCell ref="K14:K16"/>
    <mergeCell ref="L14:L16"/>
    <mergeCell ref="M14:M16"/>
    <mergeCell ref="G11:G13"/>
    <mergeCell ref="H11:H13"/>
    <mergeCell ref="K5:K6"/>
    <mergeCell ref="L5:L6"/>
    <mergeCell ref="M5:M6"/>
    <mergeCell ref="N5:N6"/>
    <mergeCell ref="E7:F7"/>
    <mergeCell ref="G8:G10"/>
    <mergeCell ref="H8:H10"/>
    <mergeCell ref="I5:I6"/>
    <mergeCell ref="J5:J6"/>
    <mergeCell ref="O5:O6"/>
    <mergeCell ref="A1:Q2"/>
    <mergeCell ref="A4:A6"/>
    <mergeCell ref="B4:B6"/>
    <mergeCell ref="C4:C6"/>
    <mergeCell ref="D4:D6"/>
    <mergeCell ref="E4:F5"/>
    <mergeCell ref="G4:Q4"/>
    <mergeCell ref="G5:H5"/>
    <mergeCell ref="Q5:Q6"/>
    <mergeCell ref="P5:P6"/>
  </mergeCells>
  <printOptions/>
  <pageMargins left="0.65" right="0.95" top="0.75" bottom="0.75" header="0.3" footer="0.3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0" zoomScaleNormal="80" zoomScaleSheetLayoutView="70" zoomScalePageLayoutView="0" workbookViewId="0" topLeftCell="A19">
      <selection activeCell="H43" sqref="H43"/>
    </sheetView>
  </sheetViews>
  <sheetFormatPr defaultColWidth="9.140625" defaultRowHeight="15"/>
  <cols>
    <col min="1" max="1" width="16.7109375" style="0" customWidth="1"/>
    <col min="2" max="2" width="12.8515625" style="0" customWidth="1"/>
    <col min="4" max="4" width="12.421875" style="0" customWidth="1"/>
    <col min="8" max="8" width="12.7109375" style="0" bestFit="1" customWidth="1"/>
    <col min="9" max="9" width="13.140625" style="0" customWidth="1"/>
    <col min="10" max="10" width="23.57421875" style="0" bestFit="1" customWidth="1"/>
    <col min="11" max="11" width="58.421875" style="0" customWidth="1"/>
    <col min="12" max="12" width="18.421875" style="0" bestFit="1" customWidth="1"/>
    <col min="13" max="13" width="28.140625" style="5" customWidth="1"/>
    <col min="14" max="14" width="14.8515625" style="0" customWidth="1"/>
    <col min="15" max="15" width="10.8515625" style="0" customWidth="1"/>
    <col min="16" max="16" width="11.00390625" style="0" customWidth="1"/>
    <col min="17" max="17" width="13.14062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15.75">
      <c r="A8" s="100" t="s">
        <v>55</v>
      </c>
      <c r="B8" s="158" t="s">
        <v>74</v>
      </c>
      <c r="C8" s="160">
        <v>20000</v>
      </c>
      <c r="D8" s="161" t="s">
        <v>56</v>
      </c>
      <c r="E8" s="298">
        <v>115.45</v>
      </c>
      <c r="F8" s="162">
        <v>57.66157227050245</v>
      </c>
      <c r="G8" s="438">
        <v>2003</v>
      </c>
      <c r="H8" s="477">
        <v>658</v>
      </c>
      <c r="I8" s="163">
        <f>H8/100*F8</f>
        <v>379.4131455399061</v>
      </c>
      <c r="J8" s="298"/>
      <c r="K8" s="213"/>
      <c r="L8" s="70"/>
      <c r="M8" s="304"/>
      <c r="N8" s="154"/>
      <c r="O8" s="226">
        <f>H8-J8</f>
        <v>658</v>
      </c>
      <c r="P8" s="153"/>
      <c r="Q8" s="70"/>
    </row>
    <row r="9" spans="1:17" ht="15.75">
      <c r="A9" s="102"/>
      <c r="B9" s="366" t="s">
        <v>113</v>
      </c>
      <c r="C9" s="160"/>
      <c r="D9" s="161" t="s">
        <v>57</v>
      </c>
      <c r="E9" s="298">
        <v>84.77</v>
      </c>
      <c r="F9" s="162">
        <v>42.33842772949755</v>
      </c>
      <c r="G9" s="440"/>
      <c r="H9" s="478"/>
      <c r="I9" s="93">
        <f>H8/100*F9</f>
        <v>278.5868544600939</v>
      </c>
      <c r="J9" s="70"/>
      <c r="K9" s="77"/>
      <c r="L9" s="70"/>
      <c r="M9" s="304"/>
      <c r="N9" s="154"/>
      <c r="O9" s="70"/>
      <c r="P9" s="153"/>
      <c r="Q9" s="70"/>
    </row>
    <row r="10" spans="1:17" ht="72.75" customHeight="1">
      <c r="A10" s="84"/>
      <c r="B10" s="82"/>
      <c r="C10" s="160">
        <v>20000</v>
      </c>
      <c r="D10" s="161" t="s">
        <v>56</v>
      </c>
      <c r="E10" s="298">
        <v>115.45</v>
      </c>
      <c r="F10" s="162">
        <v>57.66157227050245</v>
      </c>
      <c r="G10" s="502">
        <v>2004</v>
      </c>
      <c r="H10" s="477">
        <v>20000</v>
      </c>
      <c r="I10" s="163">
        <f>H10/100*F10</f>
        <v>11532.31445410049</v>
      </c>
      <c r="J10" s="79"/>
      <c r="K10" s="232"/>
      <c r="L10" s="226"/>
      <c r="M10" s="232"/>
      <c r="N10" s="69"/>
      <c r="O10" s="226">
        <f>H10-J10</f>
        <v>20000</v>
      </c>
      <c r="P10" s="226"/>
      <c r="Q10" s="226"/>
    </row>
    <row r="11" spans="1:17" ht="72.75" customHeight="1">
      <c r="A11" s="84"/>
      <c r="B11" s="82"/>
      <c r="C11" s="160"/>
      <c r="D11" s="161" t="s">
        <v>57</v>
      </c>
      <c r="E11" s="298">
        <v>84.77</v>
      </c>
      <c r="F11" s="162">
        <v>42.33842772949755</v>
      </c>
      <c r="G11" s="440"/>
      <c r="H11" s="504"/>
      <c r="I11" s="163">
        <f>H10/100*F11</f>
        <v>8467.68554589951</v>
      </c>
      <c r="J11" s="79"/>
      <c r="K11" s="232"/>
      <c r="L11" s="226"/>
      <c r="M11" s="232"/>
      <c r="N11" s="69"/>
      <c r="O11" s="226"/>
      <c r="P11" s="226"/>
      <c r="Q11" s="226"/>
    </row>
    <row r="12" spans="1:17" ht="15.75">
      <c r="A12" s="84"/>
      <c r="B12" s="82"/>
      <c r="C12" s="134">
        <v>20000</v>
      </c>
      <c r="D12" s="152" t="s">
        <v>56</v>
      </c>
      <c r="E12" s="70">
        <v>115.45</v>
      </c>
      <c r="F12" s="157">
        <v>57.66157227050245</v>
      </c>
      <c r="G12" s="502">
        <v>2005</v>
      </c>
      <c r="H12" s="477">
        <v>20000</v>
      </c>
      <c r="I12" s="93">
        <f>H12/100*F12</f>
        <v>11532.31445410049</v>
      </c>
      <c r="J12" s="76"/>
      <c r="K12" s="232"/>
      <c r="L12" s="226"/>
      <c r="M12" s="232"/>
      <c r="N12" s="69"/>
      <c r="O12" s="226">
        <f>H12-J12</f>
        <v>20000</v>
      </c>
      <c r="P12" s="226"/>
      <c r="Q12" s="226"/>
    </row>
    <row r="13" spans="1:17" ht="15.75">
      <c r="A13" s="84"/>
      <c r="B13" s="82"/>
      <c r="C13" s="134"/>
      <c r="D13" s="152" t="s">
        <v>57</v>
      </c>
      <c r="E13" s="70">
        <v>84.77</v>
      </c>
      <c r="F13" s="157">
        <v>42.33842772949755</v>
      </c>
      <c r="G13" s="440"/>
      <c r="H13" s="504"/>
      <c r="I13" s="93">
        <f>H12/100*F13</f>
        <v>8467.68554589951</v>
      </c>
      <c r="J13" s="76"/>
      <c r="K13" s="232"/>
      <c r="L13" s="226"/>
      <c r="M13" s="232"/>
      <c r="N13" s="69"/>
      <c r="O13" s="226"/>
      <c r="P13" s="226"/>
      <c r="Q13" s="226"/>
    </row>
    <row r="14" spans="1:17" ht="15.75">
      <c r="A14" s="84"/>
      <c r="B14" s="82"/>
      <c r="C14" s="160">
        <v>20000</v>
      </c>
      <c r="D14" s="161" t="s">
        <v>56</v>
      </c>
      <c r="E14" s="298">
        <v>115.45</v>
      </c>
      <c r="F14" s="162">
        <v>57.66157227050245</v>
      </c>
      <c r="G14" s="502">
        <v>2006</v>
      </c>
      <c r="H14" s="477">
        <v>20000</v>
      </c>
      <c r="I14" s="163">
        <f>H14/100*F14</f>
        <v>11532.31445410049</v>
      </c>
      <c r="J14" s="164"/>
      <c r="K14" s="144"/>
      <c r="L14" s="226"/>
      <c r="M14" s="232"/>
      <c r="N14" s="69"/>
      <c r="O14" s="226">
        <f>H14-J14</f>
        <v>20000</v>
      </c>
      <c r="P14" s="226"/>
      <c r="Q14" s="226"/>
    </row>
    <row r="15" spans="1:17" ht="15.75">
      <c r="A15" s="84"/>
      <c r="B15" s="82"/>
      <c r="C15" s="134"/>
      <c r="D15" s="152" t="s">
        <v>57</v>
      </c>
      <c r="E15" s="70">
        <v>84.77</v>
      </c>
      <c r="F15" s="157">
        <v>42.33842772949755</v>
      </c>
      <c r="G15" s="440"/>
      <c r="H15" s="504"/>
      <c r="I15" s="93">
        <f>H14/100*F15</f>
        <v>8467.68554589951</v>
      </c>
      <c r="J15" s="156"/>
      <c r="K15" s="232"/>
      <c r="L15" s="226"/>
      <c r="M15" s="232"/>
      <c r="N15" s="69"/>
      <c r="O15" s="226"/>
      <c r="P15" s="226"/>
      <c r="Q15" s="226"/>
    </row>
    <row r="16" spans="1:17" ht="15.75">
      <c r="A16" s="84"/>
      <c r="B16" s="82"/>
      <c r="C16" s="134">
        <v>20000</v>
      </c>
      <c r="D16" s="152" t="s">
        <v>56</v>
      </c>
      <c r="E16" s="70">
        <v>115.45</v>
      </c>
      <c r="F16" s="157">
        <v>57.66157227050245</v>
      </c>
      <c r="G16" s="502">
        <v>2007</v>
      </c>
      <c r="H16" s="477">
        <v>20000</v>
      </c>
      <c r="I16" s="93">
        <f>H16/100*F16</f>
        <v>11532.31445410049</v>
      </c>
      <c r="J16" s="76"/>
      <c r="K16" s="232"/>
      <c r="L16" s="226"/>
      <c r="M16" s="232"/>
      <c r="N16" s="69"/>
      <c r="O16" s="226">
        <f>H16-J16</f>
        <v>20000</v>
      </c>
      <c r="P16" s="226"/>
      <c r="Q16" s="226"/>
    </row>
    <row r="17" spans="1:17" ht="15.75">
      <c r="A17" s="84"/>
      <c r="B17" s="82"/>
      <c r="C17" s="134"/>
      <c r="D17" s="152" t="s">
        <v>57</v>
      </c>
      <c r="E17" s="70">
        <v>84.77</v>
      </c>
      <c r="F17" s="157">
        <v>42.33842772949755</v>
      </c>
      <c r="G17" s="440"/>
      <c r="H17" s="504"/>
      <c r="I17" s="93">
        <f>H16/100*F17</f>
        <v>8467.68554589951</v>
      </c>
      <c r="J17" s="76"/>
      <c r="K17" s="232"/>
      <c r="L17" s="226"/>
      <c r="M17" s="232"/>
      <c r="N17" s="69"/>
      <c r="O17" s="226"/>
      <c r="P17" s="226"/>
      <c r="Q17" s="226"/>
    </row>
    <row r="18" spans="1:17" ht="15.75">
      <c r="A18" s="84"/>
      <c r="B18" s="82"/>
      <c r="C18" s="134">
        <v>20000</v>
      </c>
      <c r="D18" s="152" t="s">
        <v>56</v>
      </c>
      <c r="E18" s="70">
        <v>115.45</v>
      </c>
      <c r="F18" s="157">
        <v>57.66157227050245</v>
      </c>
      <c r="G18" s="502">
        <v>2008</v>
      </c>
      <c r="H18" s="477">
        <v>20000</v>
      </c>
      <c r="I18" s="93">
        <f>H18/100*F18</f>
        <v>11532.31445410049</v>
      </c>
      <c r="J18" s="76"/>
      <c r="K18" s="232"/>
      <c r="L18" s="226"/>
      <c r="M18" s="232"/>
      <c r="N18" s="69"/>
      <c r="O18" s="226">
        <f>H18-J18</f>
        <v>20000</v>
      </c>
      <c r="P18" s="226"/>
      <c r="Q18" s="226"/>
    </row>
    <row r="19" spans="1:17" ht="15.75">
      <c r="A19" s="121"/>
      <c r="B19" s="159"/>
      <c r="C19" s="134"/>
      <c r="D19" s="152" t="s">
        <v>57</v>
      </c>
      <c r="E19" s="70">
        <v>84.77</v>
      </c>
      <c r="F19" s="157">
        <v>42.33842772949755</v>
      </c>
      <c r="G19" s="440"/>
      <c r="H19" s="504"/>
      <c r="I19" s="93">
        <f>H18/100*F19</f>
        <v>8467.68554589951</v>
      </c>
      <c r="J19" s="76"/>
      <c r="K19" s="232"/>
      <c r="L19" s="226"/>
      <c r="M19" s="232"/>
      <c r="N19" s="69"/>
      <c r="O19" s="226"/>
      <c r="P19" s="226"/>
      <c r="Q19" s="226"/>
    </row>
    <row r="20" spans="1:17" ht="15.75">
      <c r="A20" s="100" t="s">
        <v>55</v>
      </c>
      <c r="B20" s="80"/>
      <c r="C20" s="160">
        <v>20000</v>
      </c>
      <c r="D20" s="161" t="s">
        <v>56</v>
      </c>
      <c r="E20" s="298">
        <v>115.45</v>
      </c>
      <c r="F20" s="162">
        <v>57.66157227050245</v>
      </c>
      <c r="G20" s="502">
        <v>2009</v>
      </c>
      <c r="H20" s="477">
        <v>20000</v>
      </c>
      <c r="I20" s="163">
        <f>H20/100*F20</f>
        <v>11532.31445410049</v>
      </c>
      <c r="J20" s="183"/>
      <c r="K20" s="144"/>
      <c r="L20" s="226"/>
      <c r="M20" s="232"/>
      <c r="N20" s="69"/>
      <c r="O20" s="226">
        <f>H20-J20</f>
        <v>20000</v>
      </c>
      <c r="P20" s="226"/>
      <c r="Q20" s="226"/>
    </row>
    <row r="21" spans="1:17" ht="15.75">
      <c r="A21" s="84"/>
      <c r="B21" s="82"/>
      <c r="C21" s="134"/>
      <c r="D21" s="152" t="s">
        <v>57</v>
      </c>
      <c r="E21" s="70">
        <v>84.77</v>
      </c>
      <c r="F21" s="157">
        <v>42.33842772949755</v>
      </c>
      <c r="G21" s="440"/>
      <c r="H21" s="504"/>
      <c r="I21" s="93">
        <f>H20/100*F21</f>
        <v>8467.68554589951</v>
      </c>
      <c r="J21" s="76"/>
      <c r="K21" s="232"/>
      <c r="L21" s="226"/>
      <c r="M21" s="232"/>
      <c r="N21" s="69"/>
      <c r="O21" s="226"/>
      <c r="P21" s="226"/>
      <c r="Q21" s="226"/>
    </row>
    <row r="22" spans="1:17" ht="15.75" customHeight="1">
      <c r="A22" s="84"/>
      <c r="B22" s="82"/>
      <c r="C22" s="134">
        <v>20000</v>
      </c>
      <c r="D22" s="152" t="s">
        <v>56</v>
      </c>
      <c r="E22" s="70">
        <v>115.45</v>
      </c>
      <c r="F22" s="157">
        <v>57.66157227050245</v>
      </c>
      <c r="G22" s="502">
        <v>2010</v>
      </c>
      <c r="H22" s="477">
        <v>20000</v>
      </c>
      <c r="I22" s="93">
        <f>H22/100*F22</f>
        <v>11532.31445410049</v>
      </c>
      <c r="J22" s="76"/>
      <c r="K22" s="489"/>
      <c r="L22" s="226"/>
      <c r="M22" s="492"/>
      <c r="N22" s="492"/>
      <c r="O22" s="226">
        <f>H22-J23</f>
        <v>20000</v>
      </c>
      <c r="P22" s="226"/>
      <c r="Q22" s="495"/>
    </row>
    <row r="23" spans="1:17" ht="15.75">
      <c r="A23" s="84"/>
      <c r="B23" s="82"/>
      <c r="C23" s="134"/>
      <c r="D23" s="152" t="s">
        <v>57</v>
      </c>
      <c r="E23" s="70">
        <v>84.77</v>
      </c>
      <c r="F23" s="157">
        <v>42.33842772949755</v>
      </c>
      <c r="G23" s="440"/>
      <c r="H23" s="504"/>
      <c r="I23" s="93">
        <f>H22/100*F23</f>
        <v>8467.68554589951</v>
      </c>
      <c r="J23" s="178"/>
      <c r="K23" s="490"/>
      <c r="L23" s="226"/>
      <c r="M23" s="494"/>
      <c r="N23" s="494"/>
      <c r="O23" s="226"/>
      <c r="P23" s="226"/>
      <c r="Q23" s="497"/>
    </row>
    <row r="24" spans="1:17" ht="15.75">
      <c r="A24" s="84"/>
      <c r="B24" s="82"/>
      <c r="C24" s="134">
        <v>20000</v>
      </c>
      <c r="D24" s="152" t="s">
        <v>56</v>
      </c>
      <c r="E24" s="70">
        <v>115.45</v>
      </c>
      <c r="F24" s="157">
        <v>57.66157227050245</v>
      </c>
      <c r="G24" s="502">
        <v>2011</v>
      </c>
      <c r="H24" s="477">
        <v>20000</v>
      </c>
      <c r="I24" s="93">
        <f>H24/100*F24</f>
        <v>11532.31445410049</v>
      </c>
      <c r="J24" s="178"/>
      <c r="K24" s="489"/>
      <c r="L24" s="226"/>
      <c r="M24" s="492"/>
      <c r="N24" s="492"/>
      <c r="O24" s="226">
        <f>H24-J24</f>
        <v>20000</v>
      </c>
      <c r="P24" s="226"/>
      <c r="Q24" s="495"/>
    </row>
    <row r="25" spans="1:17" ht="15.75">
      <c r="A25" s="84"/>
      <c r="B25" s="82"/>
      <c r="C25" s="134"/>
      <c r="D25" s="152" t="s">
        <v>57</v>
      </c>
      <c r="E25" s="70">
        <v>84.77</v>
      </c>
      <c r="F25" s="157">
        <v>42.33842772949755</v>
      </c>
      <c r="G25" s="440"/>
      <c r="H25" s="504"/>
      <c r="I25" s="93">
        <f>H24/100*F25</f>
        <v>8467.68554589951</v>
      </c>
      <c r="J25" s="76"/>
      <c r="K25" s="490"/>
      <c r="L25" s="226"/>
      <c r="M25" s="494"/>
      <c r="N25" s="494"/>
      <c r="O25" s="226"/>
      <c r="P25" s="226"/>
      <c r="Q25" s="497"/>
    </row>
    <row r="26" spans="1:17" ht="15.75">
      <c r="A26" s="84"/>
      <c r="B26" s="82"/>
      <c r="C26" s="134">
        <v>20000</v>
      </c>
      <c r="D26" s="152" t="s">
        <v>56</v>
      </c>
      <c r="E26" s="70">
        <v>115.45</v>
      </c>
      <c r="F26" s="157">
        <v>57.66157227050245</v>
      </c>
      <c r="G26" s="502">
        <v>2012</v>
      </c>
      <c r="H26" s="477">
        <v>20000</v>
      </c>
      <c r="I26" s="93">
        <f>H26/100*F26</f>
        <v>11532.31445410049</v>
      </c>
      <c r="J26" s="76"/>
      <c r="K26" s="489"/>
      <c r="L26" s="226"/>
      <c r="M26" s="492"/>
      <c r="N26" s="492"/>
      <c r="O26" s="226">
        <f>H26-J27</f>
        <v>20000</v>
      </c>
      <c r="P26" s="226"/>
      <c r="Q26" s="495"/>
    </row>
    <row r="27" spans="1:17" ht="15.75">
      <c r="A27" s="84"/>
      <c r="B27" s="82"/>
      <c r="C27" s="134"/>
      <c r="D27" s="152" t="s">
        <v>57</v>
      </c>
      <c r="E27" s="70">
        <v>84.77</v>
      </c>
      <c r="F27" s="157">
        <v>42.33842772949755</v>
      </c>
      <c r="G27" s="440"/>
      <c r="H27" s="504"/>
      <c r="I27" s="93">
        <f>H26/100*F27</f>
        <v>8467.68554589951</v>
      </c>
      <c r="J27" s="178"/>
      <c r="K27" s="490"/>
      <c r="L27" s="226"/>
      <c r="M27" s="494"/>
      <c r="N27" s="494"/>
      <c r="O27" s="226"/>
      <c r="P27" s="226"/>
      <c r="Q27" s="497"/>
    </row>
    <row r="28" spans="1:17" ht="15.75">
      <c r="A28" s="84"/>
      <c r="B28" s="82"/>
      <c r="C28" s="134">
        <v>20000</v>
      </c>
      <c r="D28" s="152" t="s">
        <v>56</v>
      </c>
      <c r="E28" s="70">
        <v>115.45</v>
      </c>
      <c r="F28" s="157">
        <v>57.66157227050245</v>
      </c>
      <c r="G28" s="502">
        <v>2013</v>
      </c>
      <c r="H28" s="477">
        <v>20000</v>
      </c>
      <c r="I28" s="93">
        <f>H28/100*F28</f>
        <v>11532.31445410049</v>
      </c>
      <c r="J28" s="178"/>
      <c r="K28" s="505"/>
      <c r="L28" s="226"/>
      <c r="M28" s="492"/>
      <c r="N28" s="492"/>
      <c r="O28" s="226">
        <f>H28-J28</f>
        <v>20000</v>
      </c>
      <c r="P28" s="226"/>
      <c r="Q28" s="495"/>
    </row>
    <row r="29" spans="1:17" ht="15.75">
      <c r="A29" s="121"/>
      <c r="B29" s="159"/>
      <c r="C29" s="119"/>
      <c r="D29" s="152" t="s">
        <v>57</v>
      </c>
      <c r="E29" s="70">
        <v>84.77</v>
      </c>
      <c r="F29" s="157">
        <v>42.33842772949755</v>
      </c>
      <c r="G29" s="503"/>
      <c r="H29" s="504"/>
      <c r="I29" s="93">
        <f>H28/100*F29</f>
        <v>8467.68554589951</v>
      </c>
      <c r="J29" s="76"/>
      <c r="K29" s="506"/>
      <c r="L29" s="226"/>
      <c r="M29" s="494"/>
      <c r="N29" s="494"/>
      <c r="O29" s="226"/>
      <c r="P29" s="226"/>
      <c r="Q29" s="497"/>
    </row>
    <row r="30" spans="1:17" ht="15.75">
      <c r="A30" s="84"/>
      <c r="B30" s="82"/>
      <c r="C30" s="134">
        <v>20000</v>
      </c>
      <c r="D30" s="152" t="s">
        <v>56</v>
      </c>
      <c r="E30" s="70">
        <v>115.45</v>
      </c>
      <c r="F30" s="157">
        <v>57.66157227050245</v>
      </c>
      <c r="G30" s="502">
        <v>2014</v>
      </c>
      <c r="H30" s="477">
        <v>20000</v>
      </c>
      <c r="I30" s="93">
        <f>H30/100*F30</f>
        <v>11532.31445410049</v>
      </c>
      <c r="J30" s="178"/>
      <c r="K30" s="505"/>
      <c r="L30" s="226"/>
      <c r="M30" s="492"/>
      <c r="N30" s="492"/>
      <c r="O30" s="226">
        <f>H30-J30</f>
        <v>20000</v>
      </c>
      <c r="P30" s="226"/>
      <c r="Q30" s="495"/>
    </row>
    <row r="31" spans="1:17" ht="15.75">
      <c r="A31" s="121"/>
      <c r="B31" s="159"/>
      <c r="C31" s="119"/>
      <c r="D31" s="152" t="s">
        <v>57</v>
      </c>
      <c r="E31" s="70">
        <v>84.77</v>
      </c>
      <c r="F31" s="157">
        <v>42.33842772949755</v>
      </c>
      <c r="G31" s="503"/>
      <c r="H31" s="504"/>
      <c r="I31" s="93">
        <f>H30/100*F31</f>
        <v>8467.68554589951</v>
      </c>
      <c r="J31" s="76"/>
      <c r="K31" s="506"/>
      <c r="L31" s="226"/>
      <c r="M31" s="494"/>
      <c r="N31" s="494"/>
      <c r="O31" s="226"/>
      <c r="P31" s="226"/>
      <c r="Q31" s="497"/>
    </row>
    <row r="32" spans="1:17" ht="15.75">
      <c r="A32" s="337"/>
      <c r="B32" s="82"/>
      <c r="C32" s="134">
        <v>20000</v>
      </c>
      <c r="D32" s="152" t="s">
        <v>56</v>
      </c>
      <c r="E32" s="70">
        <v>115.45</v>
      </c>
      <c r="F32" s="157">
        <v>57.66157227050245</v>
      </c>
      <c r="G32" s="502">
        <v>2015</v>
      </c>
      <c r="H32" s="477">
        <v>20000</v>
      </c>
      <c r="I32" s="93">
        <f>H32/100*F32</f>
        <v>11532.31445410049</v>
      </c>
      <c r="J32" s="178"/>
      <c r="K32" s="505"/>
      <c r="L32" s="226"/>
      <c r="M32" s="492"/>
      <c r="N32" s="492"/>
      <c r="O32" s="226">
        <f>H32-J32</f>
        <v>20000</v>
      </c>
      <c r="P32" s="226"/>
      <c r="Q32" s="495"/>
    </row>
    <row r="33" spans="1:17" ht="15.75">
      <c r="A33" s="338"/>
      <c r="B33" s="159"/>
      <c r="C33" s="119"/>
      <c r="D33" s="152" t="s">
        <v>57</v>
      </c>
      <c r="E33" s="70">
        <v>84.77</v>
      </c>
      <c r="F33" s="157">
        <v>42.33842772949755</v>
      </c>
      <c r="G33" s="503"/>
      <c r="H33" s="504"/>
      <c r="I33" s="93">
        <f>H32/100*F33</f>
        <v>8467.68554589951</v>
      </c>
      <c r="J33" s="76"/>
      <c r="K33" s="506"/>
      <c r="L33" s="226"/>
      <c r="M33" s="494"/>
      <c r="N33" s="494"/>
      <c r="O33" s="226"/>
      <c r="P33" s="226"/>
      <c r="Q33" s="497"/>
    </row>
    <row r="34" spans="1:17" ht="15.75">
      <c r="A34" s="379"/>
      <c r="B34" s="82"/>
      <c r="C34" s="134">
        <v>20000</v>
      </c>
      <c r="D34" s="152" t="s">
        <v>56</v>
      </c>
      <c r="E34" s="70">
        <v>115.45</v>
      </c>
      <c r="F34" s="157">
        <v>57.66157227050245</v>
      </c>
      <c r="G34" s="502">
        <v>2016</v>
      </c>
      <c r="H34" s="477">
        <v>20000</v>
      </c>
      <c r="I34" s="93">
        <f>H34/100*F34</f>
        <v>11532.31445410049</v>
      </c>
      <c r="J34" s="178"/>
      <c r="K34" s="505"/>
      <c r="L34" s="226"/>
      <c r="M34" s="492"/>
      <c r="N34" s="492"/>
      <c r="O34" s="226">
        <f>H34-J34</f>
        <v>20000</v>
      </c>
      <c r="P34" s="226"/>
      <c r="Q34" s="495"/>
    </row>
    <row r="35" spans="1:17" ht="15.75">
      <c r="A35" s="380"/>
      <c r="B35" s="159"/>
      <c r="C35" s="119"/>
      <c r="D35" s="152" t="s">
        <v>57</v>
      </c>
      <c r="E35" s="70">
        <v>84.77</v>
      </c>
      <c r="F35" s="157">
        <v>42.33842772949755</v>
      </c>
      <c r="G35" s="503"/>
      <c r="H35" s="504"/>
      <c r="I35" s="93">
        <f>H34/100*F35</f>
        <v>8467.68554589951</v>
      </c>
      <c r="J35" s="76"/>
      <c r="K35" s="506"/>
      <c r="L35" s="226"/>
      <c r="M35" s="494"/>
      <c r="N35" s="494"/>
      <c r="O35" s="226"/>
      <c r="P35" s="226"/>
      <c r="Q35" s="497"/>
    </row>
    <row r="36" spans="1:17" ht="15.75">
      <c r="A36" s="379"/>
      <c r="B36" s="82"/>
      <c r="C36" s="134">
        <v>20000</v>
      </c>
      <c r="D36" s="152" t="s">
        <v>56</v>
      </c>
      <c r="E36" s="70">
        <v>115.45</v>
      </c>
      <c r="F36" s="157">
        <v>57.66157227050245</v>
      </c>
      <c r="G36" s="502">
        <v>2017</v>
      </c>
      <c r="H36" s="477">
        <v>20000</v>
      </c>
      <c r="I36" s="93">
        <f>H36/100*F36</f>
        <v>11532.31445410049</v>
      </c>
      <c r="J36" s="178"/>
      <c r="K36" s="505"/>
      <c r="L36" s="226"/>
      <c r="M36" s="492"/>
      <c r="N36" s="492"/>
      <c r="O36" s="226">
        <f>H36-J36</f>
        <v>20000</v>
      </c>
      <c r="P36" s="226"/>
      <c r="Q36" s="495"/>
    </row>
    <row r="37" spans="1:17" ht="15.75">
      <c r="A37" s="380"/>
      <c r="B37" s="159"/>
      <c r="C37" s="119"/>
      <c r="D37" s="152" t="s">
        <v>57</v>
      </c>
      <c r="E37" s="70">
        <v>84.77</v>
      </c>
      <c r="F37" s="157">
        <v>42.33842772949755</v>
      </c>
      <c r="G37" s="503"/>
      <c r="H37" s="504"/>
      <c r="I37" s="93">
        <f>H36/100*F37</f>
        <v>8467.68554589951</v>
      </c>
      <c r="J37" s="76"/>
      <c r="K37" s="506"/>
      <c r="L37" s="226"/>
      <c r="M37" s="494"/>
      <c r="N37" s="494"/>
      <c r="O37" s="226"/>
      <c r="P37" s="226"/>
      <c r="Q37" s="497"/>
    </row>
    <row r="38" spans="1:17" ht="15.75">
      <c r="A38" s="382"/>
      <c r="B38" s="82"/>
      <c r="C38" s="134">
        <v>20000</v>
      </c>
      <c r="D38" s="152" t="s">
        <v>56</v>
      </c>
      <c r="E38" s="70">
        <v>115.45</v>
      </c>
      <c r="F38" s="157">
        <v>57.66157227050245</v>
      </c>
      <c r="G38" s="502">
        <v>2018</v>
      </c>
      <c r="H38" s="477">
        <v>20000</v>
      </c>
      <c r="I38" s="93">
        <f>H38/100*F38</f>
        <v>11532.31445410049</v>
      </c>
      <c r="J38" s="178"/>
      <c r="K38" s="505"/>
      <c r="L38" s="226"/>
      <c r="M38" s="492"/>
      <c r="N38" s="492"/>
      <c r="O38" s="226">
        <f>H38-J38</f>
        <v>20000</v>
      </c>
      <c r="P38" s="226"/>
      <c r="Q38" s="495"/>
    </row>
    <row r="39" spans="1:17" ht="15.75">
      <c r="A39" s="383"/>
      <c r="B39" s="159"/>
      <c r="C39" s="119"/>
      <c r="D39" s="152" t="s">
        <v>57</v>
      </c>
      <c r="E39" s="70">
        <v>84.77</v>
      </c>
      <c r="F39" s="157">
        <v>42.33842772949755</v>
      </c>
      <c r="G39" s="503"/>
      <c r="H39" s="504"/>
      <c r="I39" s="93">
        <f>H38/100*F39</f>
        <v>8467.68554589951</v>
      </c>
      <c r="J39" s="76"/>
      <c r="K39" s="506"/>
      <c r="L39" s="226"/>
      <c r="M39" s="494"/>
      <c r="N39" s="494"/>
      <c r="O39" s="226"/>
      <c r="P39" s="226"/>
      <c r="Q39" s="497"/>
    </row>
    <row r="40" spans="1:17" ht="15.75">
      <c r="A40" s="385"/>
      <c r="B40" s="82"/>
      <c r="C40" s="134">
        <v>20000</v>
      </c>
      <c r="D40" s="152" t="s">
        <v>56</v>
      </c>
      <c r="E40" s="70">
        <v>115.45</v>
      </c>
      <c r="F40" s="157">
        <v>57.66157227050245</v>
      </c>
      <c r="G40" s="502">
        <v>2019</v>
      </c>
      <c r="H40" s="477">
        <v>20000</v>
      </c>
      <c r="I40" s="93">
        <f>H40/100*F40</f>
        <v>11532.31445410049</v>
      </c>
      <c r="J40" s="178"/>
      <c r="K40" s="505"/>
      <c r="L40" s="226"/>
      <c r="M40" s="492"/>
      <c r="N40" s="492"/>
      <c r="O40" s="226">
        <f>H40-J40</f>
        <v>20000</v>
      </c>
      <c r="P40" s="226"/>
      <c r="Q40" s="495"/>
    </row>
    <row r="41" spans="1:17" ht="15.75">
      <c r="A41" s="386"/>
      <c r="B41" s="159"/>
      <c r="C41" s="119"/>
      <c r="D41" s="152" t="s">
        <v>57</v>
      </c>
      <c r="E41" s="70">
        <v>84.77</v>
      </c>
      <c r="F41" s="157">
        <v>42.33842772949755</v>
      </c>
      <c r="G41" s="503"/>
      <c r="H41" s="504"/>
      <c r="I41" s="93">
        <f>H40/100*F41</f>
        <v>8467.68554589951</v>
      </c>
      <c r="J41" s="76"/>
      <c r="K41" s="506"/>
      <c r="L41" s="226"/>
      <c r="M41" s="494"/>
      <c r="N41" s="494"/>
      <c r="O41" s="226"/>
      <c r="P41" s="226"/>
      <c r="Q41" s="497"/>
    </row>
    <row r="42" spans="1:17" ht="15.75">
      <c r="A42" s="444" t="s">
        <v>28</v>
      </c>
      <c r="B42" s="445"/>
      <c r="C42" s="445"/>
      <c r="D42" s="445"/>
      <c r="E42" s="445"/>
      <c r="F42" s="446"/>
      <c r="G42" s="165"/>
      <c r="H42" s="166">
        <f>SUM(H8:H41)</f>
        <v>320658</v>
      </c>
      <c r="I42" s="166">
        <f>SUM(I8:I41)</f>
        <v>320658</v>
      </c>
      <c r="J42" s="166">
        <f>SUM(J8:J33)</f>
        <v>0</v>
      </c>
      <c r="K42" s="167"/>
      <c r="L42" s="116"/>
      <c r="M42" s="167"/>
      <c r="N42" s="118"/>
      <c r="O42" s="166">
        <f>SUM(O8:O41)</f>
        <v>320658</v>
      </c>
      <c r="P42" s="110"/>
      <c r="Q42" s="110"/>
    </row>
    <row r="43" ht="15.75" thickBot="1"/>
    <row r="44" spans="4:12" ht="15">
      <c r="D44" s="398" t="s">
        <v>78</v>
      </c>
      <c r="E44" s="394" t="s">
        <v>75</v>
      </c>
      <c r="F44" s="394"/>
      <c r="G44" s="400"/>
      <c r="H44" s="400"/>
      <c r="I44" s="402" t="s">
        <v>76</v>
      </c>
      <c r="J44" s="404" t="s">
        <v>77</v>
      </c>
      <c r="K44" s="394" t="s">
        <v>79</v>
      </c>
      <c r="L44" s="396" t="s">
        <v>80</v>
      </c>
    </row>
    <row r="45" spans="4:12" ht="15.75" thickBot="1">
      <c r="D45" s="469"/>
      <c r="E45" s="220" t="s">
        <v>81</v>
      </c>
      <c r="F45" s="220" t="s">
        <v>18</v>
      </c>
      <c r="G45" s="447"/>
      <c r="H45" s="447"/>
      <c r="I45" s="448"/>
      <c r="J45" s="449"/>
      <c r="K45" s="507"/>
      <c r="L45" s="453"/>
    </row>
    <row r="46" spans="4:12" ht="15.75">
      <c r="D46" s="281" t="s">
        <v>56</v>
      </c>
      <c r="E46" s="282">
        <v>115.45</v>
      </c>
      <c r="F46" s="283">
        <v>57.66157227050245</v>
      </c>
      <c r="G46" s="284"/>
      <c r="H46" s="285"/>
      <c r="I46" s="286">
        <f>SUM(I28,I26,I24,I22,I20,I18,I16,I14,I12,I8,I10,I30,I32,I34,I36,I38,I40)</f>
        <v>184896.4444111478</v>
      </c>
      <c r="J46" s="287">
        <f>J14+J20+J30+J28+J24</f>
        <v>0</v>
      </c>
      <c r="K46" s="288"/>
      <c r="L46" s="286">
        <f>I46-J46</f>
        <v>184896.4444111478</v>
      </c>
    </row>
    <row r="47" spans="4:12" ht="15.75">
      <c r="D47" s="113" t="s">
        <v>57</v>
      </c>
      <c r="E47" s="110">
        <v>84.77</v>
      </c>
      <c r="F47" s="114">
        <v>42.33842772949755</v>
      </c>
      <c r="G47" s="111"/>
      <c r="H47" s="112"/>
      <c r="I47" s="106">
        <f>SUM(I29,I27,I25,I23,I21,I19,I17,I15,I13,I9,I11,I31,I33,I35,I37,I39,I41)</f>
        <v>135761.55558885226</v>
      </c>
      <c r="J47" s="302">
        <f>J27+J23</f>
        <v>0</v>
      </c>
      <c r="K47" s="222"/>
      <c r="L47" s="106">
        <f>I47-J47</f>
        <v>135761.55558885226</v>
      </c>
    </row>
    <row r="48" spans="1:10" ht="15">
      <c r="A48" t="s">
        <v>69</v>
      </c>
      <c r="B48" s="319"/>
      <c r="J48" s="306">
        <v>40000</v>
      </c>
    </row>
    <row r="49" ht="15">
      <c r="K49" s="43"/>
    </row>
    <row r="50" spans="4:12" ht="15">
      <c r="D50" s="205" t="s">
        <v>27</v>
      </c>
      <c r="E50" s="205"/>
      <c r="F50" s="205"/>
      <c r="G50" s="205"/>
      <c r="H50" s="206"/>
      <c r="I50" s="206">
        <f>SUM(I46,I47)</f>
        <v>320658.00000000006</v>
      </c>
      <c r="J50" s="206">
        <f>SUM(J46,J47)+J48</f>
        <v>40000</v>
      </c>
      <c r="K50" s="205"/>
      <c r="L50" s="206">
        <f>I50-J50</f>
        <v>280658.00000000006</v>
      </c>
    </row>
  </sheetData>
  <sheetProtection/>
  <mergeCells count="101">
    <mergeCell ref="G38:G39"/>
    <mergeCell ref="H38:H39"/>
    <mergeCell ref="K38:K39"/>
    <mergeCell ref="M38:M39"/>
    <mergeCell ref="N38:N39"/>
    <mergeCell ref="Q38:Q39"/>
    <mergeCell ref="G36:G37"/>
    <mergeCell ref="H36:H37"/>
    <mergeCell ref="K36:K37"/>
    <mergeCell ref="M36:M37"/>
    <mergeCell ref="N36:N37"/>
    <mergeCell ref="Q36:Q37"/>
    <mergeCell ref="G34:G35"/>
    <mergeCell ref="H34:H35"/>
    <mergeCell ref="K34:K35"/>
    <mergeCell ref="M34:M35"/>
    <mergeCell ref="N34:N35"/>
    <mergeCell ref="Q34:Q35"/>
    <mergeCell ref="N32:N33"/>
    <mergeCell ref="Q32:Q33"/>
    <mergeCell ref="K44:K45"/>
    <mergeCell ref="L44:L45"/>
    <mergeCell ref="D44:D45"/>
    <mergeCell ref="E44:F44"/>
    <mergeCell ref="G44:G45"/>
    <mergeCell ref="H44:H45"/>
    <mergeCell ref="I44:I45"/>
    <mergeCell ref="J44:J45"/>
    <mergeCell ref="G30:G31"/>
    <mergeCell ref="H30:H31"/>
    <mergeCell ref="K30:K31"/>
    <mergeCell ref="N30:N31"/>
    <mergeCell ref="Q30:Q31"/>
    <mergeCell ref="A42:F42"/>
    <mergeCell ref="G32:G33"/>
    <mergeCell ref="H32:H33"/>
    <mergeCell ref="K32:K33"/>
    <mergeCell ref="M32:M33"/>
    <mergeCell ref="G26:G27"/>
    <mergeCell ref="H26:H27"/>
    <mergeCell ref="K26:K27"/>
    <mergeCell ref="N26:N27"/>
    <mergeCell ref="Q26:Q27"/>
    <mergeCell ref="G28:G29"/>
    <mergeCell ref="H28:H29"/>
    <mergeCell ref="K28:K29"/>
    <mergeCell ref="N28:N29"/>
    <mergeCell ref="Q28:Q29"/>
    <mergeCell ref="K22:K23"/>
    <mergeCell ref="N22:N23"/>
    <mergeCell ref="Q22:Q23"/>
    <mergeCell ref="G24:G25"/>
    <mergeCell ref="H24:H25"/>
    <mergeCell ref="K24:K25"/>
    <mergeCell ref="N24:N25"/>
    <mergeCell ref="Q24:Q25"/>
    <mergeCell ref="M22:M23"/>
    <mergeCell ref="M24:M25"/>
    <mergeCell ref="G18:G19"/>
    <mergeCell ref="H18:H19"/>
    <mergeCell ref="G20:G21"/>
    <mergeCell ref="H20:H21"/>
    <mergeCell ref="G22:G23"/>
    <mergeCell ref="H22:H23"/>
    <mergeCell ref="G12:G13"/>
    <mergeCell ref="H12:H13"/>
    <mergeCell ref="G14:G15"/>
    <mergeCell ref="H14:H15"/>
    <mergeCell ref="G16:G17"/>
    <mergeCell ref="H16:H17"/>
    <mergeCell ref="G10:G11"/>
    <mergeCell ref="H10:H11"/>
    <mergeCell ref="K5:K6"/>
    <mergeCell ref="L5:L6"/>
    <mergeCell ref="M5:M6"/>
    <mergeCell ref="N5:N6"/>
    <mergeCell ref="G5:H5"/>
    <mergeCell ref="Q5:Q6"/>
    <mergeCell ref="E7:F7"/>
    <mergeCell ref="G8:G9"/>
    <mergeCell ref="H8:H9"/>
    <mergeCell ref="I5:I6"/>
    <mergeCell ref="J5:J6"/>
    <mergeCell ref="O5:O6"/>
    <mergeCell ref="P5:P6"/>
    <mergeCell ref="M26:M27"/>
    <mergeCell ref="M28:M29"/>
    <mergeCell ref="M30:M31"/>
    <mergeCell ref="A1:Q2"/>
    <mergeCell ref="A4:A6"/>
    <mergeCell ref="B4:B6"/>
    <mergeCell ref="C4:C6"/>
    <mergeCell ref="D4:D6"/>
    <mergeCell ref="E4:F5"/>
    <mergeCell ref="G4:Q4"/>
    <mergeCell ref="G40:G41"/>
    <mergeCell ref="H40:H41"/>
    <mergeCell ref="K40:K41"/>
    <mergeCell ref="M40:M41"/>
    <mergeCell ref="N40:N41"/>
    <mergeCell ref="Q40:Q41"/>
  </mergeCells>
  <printOptions/>
  <pageMargins left="0.65" right="0.95" top="0.75" bottom="0.75" header="0.3" footer="0.3"/>
  <pageSetup fitToHeight="0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80" zoomScaleNormal="80" zoomScalePageLayoutView="0" workbookViewId="0" topLeftCell="A28">
      <selection activeCell="K32" sqref="K32:K33"/>
    </sheetView>
  </sheetViews>
  <sheetFormatPr defaultColWidth="9.140625" defaultRowHeight="15"/>
  <cols>
    <col min="1" max="1" width="17.7109375" style="0" customWidth="1"/>
    <col min="2" max="2" width="10.57421875" style="0" bestFit="1" customWidth="1"/>
    <col min="7" max="7" width="10.421875" style="0" bestFit="1" customWidth="1"/>
    <col min="8" max="8" width="12.7109375" style="0" bestFit="1" customWidth="1"/>
    <col min="9" max="9" width="11.00390625" style="0" customWidth="1"/>
    <col min="10" max="10" width="11.28125" style="0" bestFit="1" customWidth="1"/>
    <col min="11" max="11" width="48.57421875" style="0" customWidth="1"/>
    <col min="13" max="13" width="13.140625" style="0" customWidth="1"/>
    <col min="15" max="15" width="11.28125" style="0" customWidth="1"/>
    <col min="17" max="17" width="12.28125" style="0" customWidth="1"/>
  </cols>
  <sheetData>
    <row r="1" spans="1:17" ht="15">
      <c r="A1" s="406" t="s">
        <v>73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4" ht="15">
      <c r="A3" s="1" t="s">
        <v>0</v>
      </c>
      <c r="B3" s="1" t="s">
        <v>1</v>
      </c>
      <c r="C3" s="1"/>
      <c r="D3" s="2"/>
    </row>
    <row r="4" spans="1:19" ht="26.25" customHeight="1">
      <c r="A4" s="407" t="s">
        <v>2</v>
      </c>
      <c r="B4" s="410" t="s">
        <v>3</v>
      </c>
      <c r="C4" s="410" t="s">
        <v>4</v>
      </c>
      <c r="D4" s="413" t="s">
        <v>5</v>
      </c>
      <c r="E4" s="416" t="s">
        <v>6</v>
      </c>
      <c r="F4" s="416"/>
      <c r="G4" s="417" t="s">
        <v>102</v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5"/>
      <c r="S4" s="5"/>
    </row>
    <row r="5" spans="1:19" ht="48" customHeight="1">
      <c r="A5" s="408"/>
      <c r="B5" s="411"/>
      <c r="C5" s="411"/>
      <c r="D5" s="414"/>
      <c r="E5" s="416"/>
      <c r="F5" s="416"/>
      <c r="G5" s="416" t="s">
        <v>7</v>
      </c>
      <c r="H5" s="416"/>
      <c r="I5" s="410" t="s">
        <v>8</v>
      </c>
      <c r="J5" s="416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0" t="s">
        <v>15</v>
      </c>
      <c r="Q5" s="410" t="s">
        <v>16</v>
      </c>
      <c r="R5" s="5"/>
      <c r="S5" s="5"/>
    </row>
    <row r="6" spans="1:19" ht="24.75" customHeight="1">
      <c r="A6" s="409"/>
      <c r="B6" s="412"/>
      <c r="C6" s="412"/>
      <c r="D6" s="415"/>
      <c r="E6" s="4" t="s">
        <v>17</v>
      </c>
      <c r="F6" s="9" t="s">
        <v>18</v>
      </c>
      <c r="G6" s="4" t="s">
        <v>19</v>
      </c>
      <c r="H6" s="4" t="s">
        <v>20</v>
      </c>
      <c r="I6" s="412"/>
      <c r="J6" s="416"/>
      <c r="K6" s="412"/>
      <c r="L6" s="412"/>
      <c r="M6" s="412"/>
      <c r="N6" s="412"/>
      <c r="O6" s="412"/>
      <c r="P6" s="412"/>
      <c r="Q6" s="412"/>
      <c r="R6" s="5"/>
      <c r="S6" s="5"/>
    </row>
    <row r="7" spans="1:19" ht="15">
      <c r="A7" s="4">
        <v>1</v>
      </c>
      <c r="B7" s="6">
        <v>2</v>
      </c>
      <c r="C7" s="6">
        <v>3</v>
      </c>
      <c r="D7" s="128">
        <v>4</v>
      </c>
      <c r="E7" s="417">
        <v>5</v>
      </c>
      <c r="F7" s="419"/>
      <c r="G7" s="3">
        <v>6</v>
      </c>
      <c r="H7" s="3">
        <v>7</v>
      </c>
      <c r="I7" s="8">
        <v>8</v>
      </c>
      <c r="J7" s="4">
        <v>9</v>
      </c>
      <c r="K7" s="8">
        <v>10</v>
      </c>
      <c r="L7" s="8">
        <v>11</v>
      </c>
      <c r="M7" s="8">
        <v>12</v>
      </c>
      <c r="N7" s="8">
        <v>13</v>
      </c>
      <c r="O7" s="6" t="s">
        <v>21</v>
      </c>
      <c r="P7" s="6">
        <v>15</v>
      </c>
      <c r="Q7" s="8">
        <v>16</v>
      </c>
      <c r="R7" s="5"/>
      <c r="S7" s="5"/>
    </row>
    <row r="8" spans="1:17" ht="31.5">
      <c r="A8" s="295" t="s">
        <v>58</v>
      </c>
      <c r="B8" s="367">
        <v>38838</v>
      </c>
      <c r="C8" s="81">
        <v>20000</v>
      </c>
      <c r="D8" s="73" t="s">
        <v>30</v>
      </c>
      <c r="E8" s="226">
        <v>523.6999999999999</v>
      </c>
      <c r="F8" s="78">
        <v>41.388412508989745</v>
      </c>
      <c r="G8" s="438">
        <v>2006</v>
      </c>
      <c r="H8" s="477">
        <v>19781</v>
      </c>
      <c r="I8" s="225">
        <f>H8/100*F8</f>
        <v>8187.041878403262</v>
      </c>
      <c r="J8" s="226"/>
      <c r="K8" s="232"/>
      <c r="L8" s="73"/>
      <c r="M8" s="69"/>
      <c r="N8" s="69"/>
      <c r="O8" s="226">
        <f>I8-J8</f>
        <v>8187.041878403262</v>
      </c>
      <c r="P8" s="74"/>
      <c r="Q8" s="226"/>
    </row>
    <row r="9" spans="1:17" ht="15.75">
      <c r="A9" s="84"/>
      <c r="B9" s="365">
        <v>42467</v>
      </c>
      <c r="C9" s="83"/>
      <c r="D9" s="226" t="s">
        <v>32</v>
      </c>
      <c r="E9" s="226">
        <v>741.63</v>
      </c>
      <c r="F9" s="120">
        <v>58.611587491010255</v>
      </c>
      <c r="G9" s="440"/>
      <c r="H9" s="504"/>
      <c r="I9" s="225">
        <f>H8/100*F9</f>
        <v>11593.95812159674</v>
      </c>
      <c r="J9" s="226"/>
      <c r="K9" s="232"/>
      <c r="L9" s="73"/>
      <c r="M9" s="69"/>
      <c r="N9" s="69"/>
      <c r="O9" s="226">
        <f aca="true" t="shared" si="0" ref="O9:O23">I9-J9</f>
        <v>11593.95812159674</v>
      </c>
      <c r="P9" s="73"/>
      <c r="Q9" s="226"/>
    </row>
    <row r="10" spans="1:17" ht="15.75">
      <c r="A10" s="84"/>
      <c r="B10" s="85"/>
      <c r="C10" s="83"/>
      <c r="D10" s="73" t="s">
        <v>30</v>
      </c>
      <c r="E10" s="226">
        <v>523.6999999999999</v>
      </c>
      <c r="F10" s="78">
        <v>41.388412508989745</v>
      </c>
      <c r="G10" s="438">
        <v>2007</v>
      </c>
      <c r="H10" s="477">
        <v>20000</v>
      </c>
      <c r="I10" s="225">
        <f>H10/100*F10</f>
        <v>8277.68250179795</v>
      </c>
      <c r="J10" s="226"/>
      <c r="K10" s="77"/>
      <c r="L10" s="226"/>
      <c r="M10" s="69"/>
      <c r="N10" s="69"/>
      <c r="O10" s="226">
        <f t="shared" si="0"/>
        <v>8277.68250179795</v>
      </c>
      <c r="P10" s="226"/>
      <c r="Q10" s="226"/>
    </row>
    <row r="11" spans="1:17" ht="15.75">
      <c r="A11" s="84"/>
      <c r="B11" s="85"/>
      <c r="C11" s="83"/>
      <c r="D11" s="226" t="s">
        <v>32</v>
      </c>
      <c r="E11" s="226">
        <v>741.63</v>
      </c>
      <c r="F11" s="120">
        <v>58.611587491010255</v>
      </c>
      <c r="G11" s="440"/>
      <c r="H11" s="504"/>
      <c r="I11" s="225">
        <f>H10/100*F11</f>
        <v>11722.31749820205</v>
      </c>
      <c r="J11" s="226"/>
      <c r="K11" s="77"/>
      <c r="L11" s="226"/>
      <c r="M11" s="69"/>
      <c r="N11" s="69"/>
      <c r="O11" s="226">
        <f t="shared" si="0"/>
        <v>11722.31749820205</v>
      </c>
      <c r="P11" s="226"/>
      <c r="Q11" s="226"/>
    </row>
    <row r="12" spans="1:17" ht="15.75">
      <c r="A12" s="84"/>
      <c r="B12" s="85"/>
      <c r="C12" s="83"/>
      <c r="D12" s="73" t="s">
        <v>30</v>
      </c>
      <c r="E12" s="226">
        <v>523.6999999999999</v>
      </c>
      <c r="F12" s="78">
        <v>41.388412508989745</v>
      </c>
      <c r="G12" s="438">
        <v>2008</v>
      </c>
      <c r="H12" s="477">
        <v>20000</v>
      </c>
      <c r="I12" s="225">
        <f>H12/100*F12</f>
        <v>8277.68250179795</v>
      </c>
      <c r="J12" s="226"/>
      <c r="K12" s="77"/>
      <c r="L12" s="226"/>
      <c r="M12" s="69"/>
      <c r="N12" s="69"/>
      <c r="O12" s="226">
        <f t="shared" si="0"/>
        <v>8277.68250179795</v>
      </c>
      <c r="P12" s="226"/>
      <c r="Q12" s="226"/>
    </row>
    <row r="13" spans="1:17" ht="15.75">
      <c r="A13" s="84"/>
      <c r="B13" s="85"/>
      <c r="C13" s="83"/>
      <c r="D13" s="226" t="s">
        <v>32</v>
      </c>
      <c r="E13" s="226">
        <v>741.63</v>
      </c>
      <c r="F13" s="120">
        <v>58.611587491010255</v>
      </c>
      <c r="G13" s="440"/>
      <c r="H13" s="504"/>
      <c r="I13" s="225">
        <f>H12/100*F13</f>
        <v>11722.31749820205</v>
      </c>
      <c r="J13" s="226"/>
      <c r="K13" s="77"/>
      <c r="L13" s="226"/>
      <c r="M13" s="69"/>
      <c r="N13" s="69"/>
      <c r="O13" s="226">
        <f t="shared" si="0"/>
        <v>11722.31749820205</v>
      </c>
      <c r="P13" s="226"/>
      <c r="Q13" s="226"/>
    </row>
    <row r="14" spans="1:17" ht="15.75">
      <c r="A14" s="84"/>
      <c r="B14" s="85"/>
      <c r="C14" s="83"/>
      <c r="D14" s="137" t="s">
        <v>30</v>
      </c>
      <c r="E14" s="233">
        <v>523.6999999999999</v>
      </c>
      <c r="F14" s="126">
        <v>41.388412508989745</v>
      </c>
      <c r="G14" s="438">
        <v>2009</v>
      </c>
      <c r="H14" s="477">
        <v>20000</v>
      </c>
      <c r="I14" s="138">
        <f>H14/100*F14</f>
        <v>8277.68250179795</v>
      </c>
      <c r="J14" s="233"/>
      <c r="K14" s="232"/>
      <c r="L14" s="73"/>
      <c r="M14" s="69"/>
      <c r="N14" s="69"/>
      <c r="O14" s="233">
        <f t="shared" si="0"/>
        <v>8277.68250179795</v>
      </c>
      <c r="P14" s="226"/>
      <c r="Q14" s="226"/>
    </row>
    <row r="15" spans="1:17" ht="15.75">
      <c r="A15" s="84"/>
      <c r="B15" s="85"/>
      <c r="C15" s="83"/>
      <c r="D15" s="233" t="s">
        <v>32</v>
      </c>
      <c r="E15" s="233">
        <v>741.63</v>
      </c>
      <c r="F15" s="127">
        <v>58.611587491010255</v>
      </c>
      <c r="G15" s="440"/>
      <c r="H15" s="504"/>
      <c r="I15" s="138">
        <f>H14/100*F15</f>
        <v>11722.31749820205</v>
      </c>
      <c r="J15" s="233"/>
      <c r="K15" s="77"/>
      <c r="L15" s="226"/>
      <c r="M15" s="69"/>
      <c r="N15" s="69"/>
      <c r="O15" s="226">
        <f t="shared" si="0"/>
        <v>11722.31749820205</v>
      </c>
      <c r="P15" s="226"/>
      <c r="Q15" s="226"/>
    </row>
    <row r="16" spans="1:17" ht="15.75">
      <c r="A16" s="84"/>
      <c r="B16" s="85"/>
      <c r="C16" s="83"/>
      <c r="D16" s="73" t="s">
        <v>30</v>
      </c>
      <c r="E16" s="226">
        <v>523.6999999999999</v>
      </c>
      <c r="F16" s="78">
        <v>41.388412508989745</v>
      </c>
      <c r="G16" s="438">
        <v>2010</v>
      </c>
      <c r="H16" s="477">
        <v>20000</v>
      </c>
      <c r="I16" s="225">
        <f>H16/100*F16</f>
        <v>8277.68250179795</v>
      </c>
      <c r="J16" s="226"/>
      <c r="K16" s="505"/>
      <c r="L16" s="226"/>
      <c r="M16" s="492"/>
      <c r="N16" s="69"/>
      <c r="O16" s="226">
        <f t="shared" si="0"/>
        <v>8277.68250179795</v>
      </c>
      <c r="P16" s="226"/>
      <c r="Q16" s="495"/>
    </row>
    <row r="17" spans="1:17" ht="57" customHeight="1">
      <c r="A17" s="84"/>
      <c r="B17" s="85"/>
      <c r="C17" s="83"/>
      <c r="D17" s="226" t="s">
        <v>32</v>
      </c>
      <c r="E17" s="226">
        <v>741.63</v>
      </c>
      <c r="F17" s="120">
        <v>58.611587491010255</v>
      </c>
      <c r="G17" s="440"/>
      <c r="H17" s="504"/>
      <c r="I17" s="225">
        <f>H16/100*F17</f>
        <v>11722.31749820205</v>
      </c>
      <c r="J17" s="226"/>
      <c r="K17" s="506"/>
      <c r="L17" s="226"/>
      <c r="M17" s="494"/>
      <c r="N17" s="69"/>
      <c r="O17" s="226">
        <f>I17-J17</f>
        <v>11722.31749820205</v>
      </c>
      <c r="P17" s="226"/>
      <c r="Q17" s="497"/>
    </row>
    <row r="18" spans="1:17" ht="15.75" customHeight="1">
      <c r="A18" s="84"/>
      <c r="B18" s="85"/>
      <c r="C18" s="83"/>
      <c r="D18" s="73" t="s">
        <v>30</v>
      </c>
      <c r="E18" s="226">
        <v>523.6999999999999</v>
      </c>
      <c r="F18" s="78">
        <v>41.388412508989745</v>
      </c>
      <c r="G18" s="438">
        <v>2011</v>
      </c>
      <c r="H18" s="477">
        <v>20000</v>
      </c>
      <c r="I18" s="225">
        <f>H18/100*F18</f>
        <v>8277.68250179795</v>
      </c>
      <c r="J18" s="226"/>
      <c r="K18" s="505"/>
      <c r="L18" s="226"/>
      <c r="M18" s="492"/>
      <c r="N18" s="69"/>
      <c r="O18" s="226">
        <f t="shared" si="0"/>
        <v>8277.68250179795</v>
      </c>
      <c r="P18" s="226"/>
      <c r="Q18" s="495"/>
    </row>
    <row r="19" spans="1:17" ht="55.5" customHeight="1">
      <c r="A19" s="84"/>
      <c r="B19" s="85"/>
      <c r="C19" s="83"/>
      <c r="D19" s="226" t="s">
        <v>32</v>
      </c>
      <c r="E19" s="226">
        <v>741.63</v>
      </c>
      <c r="F19" s="120">
        <v>58.611587491010255</v>
      </c>
      <c r="G19" s="440"/>
      <c r="H19" s="504"/>
      <c r="I19" s="225">
        <f>H18/100*F19</f>
        <v>11722.31749820205</v>
      </c>
      <c r="J19" s="226"/>
      <c r="K19" s="506"/>
      <c r="L19" s="226"/>
      <c r="M19" s="494"/>
      <c r="N19" s="69"/>
      <c r="O19" s="226">
        <f t="shared" si="0"/>
        <v>11722.31749820205</v>
      </c>
      <c r="P19" s="226"/>
      <c r="Q19" s="497"/>
    </row>
    <row r="20" spans="1:17" ht="15.75" customHeight="1">
      <c r="A20" s="84"/>
      <c r="B20" s="85"/>
      <c r="C20" s="83"/>
      <c r="D20" s="73" t="s">
        <v>30</v>
      </c>
      <c r="E20" s="226">
        <v>523.6999999999999</v>
      </c>
      <c r="F20" s="78">
        <v>41.388412508989745</v>
      </c>
      <c r="G20" s="438">
        <v>2012</v>
      </c>
      <c r="H20" s="477">
        <v>23333</v>
      </c>
      <c r="I20" s="225">
        <f>H20/100*F20</f>
        <v>9657.158290722578</v>
      </c>
      <c r="J20" s="226"/>
      <c r="K20" s="505"/>
      <c r="L20" s="226"/>
      <c r="M20" s="492"/>
      <c r="N20" s="69"/>
      <c r="O20" s="226">
        <f t="shared" si="0"/>
        <v>9657.158290722578</v>
      </c>
      <c r="P20" s="226"/>
      <c r="Q20" s="495"/>
    </row>
    <row r="21" spans="1:17" ht="48.75" customHeight="1">
      <c r="A21" s="84"/>
      <c r="B21" s="85"/>
      <c r="C21" s="83"/>
      <c r="D21" s="226" t="s">
        <v>32</v>
      </c>
      <c r="E21" s="226">
        <v>741.63</v>
      </c>
      <c r="F21" s="120">
        <v>58.611587491010255</v>
      </c>
      <c r="G21" s="440"/>
      <c r="H21" s="504"/>
      <c r="I21" s="225">
        <f>H20/100*F21</f>
        <v>13675.841709277423</v>
      </c>
      <c r="J21" s="226"/>
      <c r="K21" s="506"/>
      <c r="L21" s="226"/>
      <c r="M21" s="494"/>
      <c r="N21" s="69"/>
      <c r="O21" s="226">
        <f t="shared" si="0"/>
        <v>13675.841709277423</v>
      </c>
      <c r="P21" s="226"/>
      <c r="Q21" s="497"/>
    </row>
    <row r="22" spans="1:17" ht="15.75" customHeight="1">
      <c r="A22" s="84"/>
      <c r="B22" s="101"/>
      <c r="C22" s="101">
        <v>30000</v>
      </c>
      <c r="D22" s="73" t="s">
        <v>30</v>
      </c>
      <c r="E22" s="226">
        <v>523.6999999999999</v>
      </c>
      <c r="F22" s="78">
        <v>41.388412508989745</v>
      </c>
      <c r="G22" s="438">
        <v>2013</v>
      </c>
      <c r="H22" s="477">
        <v>30000</v>
      </c>
      <c r="I22" s="225">
        <f>H22/100*F22</f>
        <v>12416.523752696923</v>
      </c>
      <c r="J22" s="226"/>
      <c r="K22" s="505"/>
      <c r="L22" s="226"/>
      <c r="M22" s="492"/>
      <c r="N22" s="69"/>
      <c r="O22" s="226">
        <f t="shared" si="0"/>
        <v>12416.523752696923</v>
      </c>
      <c r="P22" s="226"/>
      <c r="Q22" s="495"/>
    </row>
    <row r="23" spans="1:17" ht="48.75" customHeight="1">
      <c r="A23" s="121"/>
      <c r="B23" s="89"/>
      <c r="C23" s="135"/>
      <c r="D23" s="226" t="s">
        <v>32</v>
      </c>
      <c r="E23" s="226">
        <v>741.63</v>
      </c>
      <c r="F23" s="120">
        <v>58.611587491010255</v>
      </c>
      <c r="G23" s="440"/>
      <c r="H23" s="504"/>
      <c r="I23" s="225">
        <f>H22/100*F23</f>
        <v>17583.476247303075</v>
      </c>
      <c r="J23" s="226"/>
      <c r="K23" s="506"/>
      <c r="L23" s="226"/>
      <c r="M23" s="494"/>
      <c r="N23" s="69"/>
      <c r="O23" s="226">
        <f t="shared" si="0"/>
        <v>17583.476247303075</v>
      </c>
      <c r="P23" s="226"/>
      <c r="Q23" s="497"/>
    </row>
    <row r="24" spans="1:17" ht="15.75" customHeight="1">
      <c r="A24" s="84"/>
      <c r="B24" s="85"/>
      <c r="C24" s="83"/>
      <c r="D24" s="73" t="s">
        <v>30</v>
      </c>
      <c r="E24" s="226">
        <v>523.6999999999999</v>
      </c>
      <c r="F24" s="78">
        <v>41.388412508989745</v>
      </c>
      <c r="G24" s="438">
        <v>2014</v>
      </c>
      <c r="H24" s="477">
        <v>30000</v>
      </c>
      <c r="I24" s="225">
        <f>H24/100*F24</f>
        <v>12416.523752696923</v>
      </c>
      <c r="J24" s="226"/>
      <c r="K24" s="505"/>
      <c r="L24" s="226"/>
      <c r="M24" s="492"/>
      <c r="N24" s="69"/>
      <c r="O24" s="226">
        <f aca="true" t="shared" si="1" ref="O24:O29">I24-J24</f>
        <v>12416.523752696923</v>
      </c>
      <c r="P24" s="226"/>
      <c r="Q24" s="495"/>
    </row>
    <row r="25" spans="1:17" ht="55.5" customHeight="1">
      <c r="A25" s="121"/>
      <c r="B25" s="89"/>
      <c r="C25" s="135"/>
      <c r="D25" s="226" t="s">
        <v>32</v>
      </c>
      <c r="E25" s="226">
        <v>741.63</v>
      </c>
      <c r="F25" s="120">
        <v>58.611587491010255</v>
      </c>
      <c r="G25" s="440"/>
      <c r="H25" s="504"/>
      <c r="I25" s="225">
        <f>H24/100*F25</f>
        <v>17583.476247303075</v>
      </c>
      <c r="J25" s="226"/>
      <c r="K25" s="506"/>
      <c r="L25" s="226"/>
      <c r="M25" s="494"/>
      <c r="N25" s="69"/>
      <c r="O25" s="226">
        <f t="shared" si="1"/>
        <v>17583.476247303075</v>
      </c>
      <c r="P25" s="226"/>
      <c r="Q25" s="497"/>
    </row>
    <row r="26" spans="1:17" ht="55.5" customHeight="1">
      <c r="A26" s="337"/>
      <c r="B26" s="85"/>
      <c r="C26" s="83"/>
      <c r="D26" s="73" t="s">
        <v>30</v>
      </c>
      <c r="E26" s="226">
        <v>523.6999999999999</v>
      </c>
      <c r="F26" s="78">
        <v>41.388412508989745</v>
      </c>
      <c r="G26" s="438">
        <v>2015</v>
      </c>
      <c r="H26" s="477">
        <v>30000</v>
      </c>
      <c r="I26" s="225">
        <f>H26/100*F26</f>
        <v>12416.523752696923</v>
      </c>
      <c r="J26" s="226"/>
      <c r="K26" s="505"/>
      <c r="L26" s="226"/>
      <c r="M26" s="492"/>
      <c r="N26" s="69"/>
      <c r="O26" s="226">
        <f t="shared" si="1"/>
        <v>12416.523752696923</v>
      </c>
      <c r="P26" s="226"/>
      <c r="Q26" s="495"/>
    </row>
    <row r="27" spans="1:17" ht="55.5" customHeight="1">
      <c r="A27" s="338"/>
      <c r="B27" s="89"/>
      <c r="C27" s="135"/>
      <c r="D27" s="226" t="s">
        <v>32</v>
      </c>
      <c r="E27" s="226">
        <v>741.63</v>
      </c>
      <c r="F27" s="120">
        <v>58.611587491010255</v>
      </c>
      <c r="G27" s="440"/>
      <c r="H27" s="504"/>
      <c r="I27" s="225">
        <f>H26/100*F27</f>
        <v>17583.476247303075</v>
      </c>
      <c r="J27" s="226"/>
      <c r="K27" s="506"/>
      <c r="L27" s="226"/>
      <c r="M27" s="494"/>
      <c r="N27" s="69"/>
      <c r="O27" s="226">
        <f t="shared" si="1"/>
        <v>17583.476247303075</v>
      </c>
      <c r="P27" s="226"/>
      <c r="Q27" s="497"/>
    </row>
    <row r="28" spans="1:17" ht="55.5" customHeight="1">
      <c r="A28" s="357"/>
      <c r="B28" s="85"/>
      <c r="C28" s="83"/>
      <c r="D28" s="73" t="s">
        <v>30</v>
      </c>
      <c r="E28" s="226">
        <v>523.6999999999999</v>
      </c>
      <c r="F28" s="78">
        <v>41.388412508989745</v>
      </c>
      <c r="G28" s="438">
        <v>2016</v>
      </c>
      <c r="H28" s="477">
        <v>30000</v>
      </c>
      <c r="I28" s="225">
        <f>H28/100*F28</f>
        <v>12416.523752696923</v>
      </c>
      <c r="J28" s="226"/>
      <c r="K28" s="505"/>
      <c r="L28" s="226"/>
      <c r="M28" s="492"/>
      <c r="N28" s="69"/>
      <c r="O28" s="226">
        <f t="shared" si="1"/>
        <v>12416.523752696923</v>
      </c>
      <c r="P28" s="226"/>
      <c r="Q28" s="495"/>
    </row>
    <row r="29" spans="1:17" ht="55.5" customHeight="1">
      <c r="A29" s="358"/>
      <c r="B29" s="89"/>
      <c r="C29" s="135"/>
      <c r="D29" s="226" t="s">
        <v>32</v>
      </c>
      <c r="E29" s="226">
        <v>741.63</v>
      </c>
      <c r="F29" s="120">
        <v>58.611587491010255</v>
      </c>
      <c r="G29" s="440"/>
      <c r="H29" s="504"/>
      <c r="I29" s="225">
        <f>H28/100*F29</f>
        <v>17583.476247303075</v>
      </c>
      <c r="J29" s="226"/>
      <c r="K29" s="506"/>
      <c r="L29" s="226"/>
      <c r="M29" s="494"/>
      <c r="N29" s="69"/>
      <c r="O29" s="226">
        <f t="shared" si="1"/>
        <v>17583.476247303075</v>
      </c>
      <c r="P29" s="226"/>
      <c r="Q29" s="497"/>
    </row>
    <row r="30" spans="1:17" ht="55.5" customHeight="1">
      <c r="A30" s="376"/>
      <c r="B30" s="85"/>
      <c r="C30" s="83"/>
      <c r="D30" s="73" t="s">
        <v>30</v>
      </c>
      <c r="E30" s="226">
        <v>523.6999999999999</v>
      </c>
      <c r="F30" s="78">
        <v>41.388412508989745</v>
      </c>
      <c r="G30" s="438">
        <v>2017</v>
      </c>
      <c r="H30" s="477">
        <v>30000</v>
      </c>
      <c r="I30" s="225">
        <f>H30/100*F30</f>
        <v>12416.523752696923</v>
      </c>
      <c r="J30" s="226"/>
      <c r="K30" s="505"/>
      <c r="L30" s="226"/>
      <c r="M30" s="492"/>
      <c r="N30" s="69"/>
      <c r="O30" s="226">
        <f>I30-J30</f>
        <v>12416.523752696923</v>
      </c>
      <c r="P30" s="226"/>
      <c r="Q30" s="495"/>
    </row>
    <row r="31" spans="1:17" ht="55.5" customHeight="1">
      <c r="A31" s="377"/>
      <c r="B31" s="89"/>
      <c r="C31" s="135"/>
      <c r="D31" s="226" t="s">
        <v>32</v>
      </c>
      <c r="E31" s="226">
        <v>741.63</v>
      </c>
      <c r="F31" s="120">
        <v>58.611587491010255</v>
      </c>
      <c r="G31" s="440"/>
      <c r="H31" s="504"/>
      <c r="I31" s="225">
        <f>H30/100*F31</f>
        <v>17583.476247303075</v>
      </c>
      <c r="J31" s="226"/>
      <c r="K31" s="506"/>
      <c r="L31" s="226"/>
      <c r="M31" s="494"/>
      <c r="N31" s="69"/>
      <c r="O31" s="226">
        <f>I31-J31</f>
        <v>17583.476247303075</v>
      </c>
      <c r="P31" s="226"/>
      <c r="Q31" s="497"/>
    </row>
    <row r="32" spans="1:17" ht="55.5" customHeight="1">
      <c r="A32" s="382"/>
      <c r="B32" s="85"/>
      <c r="C32" s="83"/>
      <c r="D32" s="73" t="s">
        <v>30</v>
      </c>
      <c r="E32" s="226">
        <v>523.6999999999999</v>
      </c>
      <c r="F32" s="78">
        <v>41.388412508989745</v>
      </c>
      <c r="G32" s="438">
        <v>2018</v>
      </c>
      <c r="H32" s="477">
        <v>15323</v>
      </c>
      <c r="I32" s="225">
        <f>H32/100*F32</f>
        <v>6341.946448752498</v>
      </c>
      <c r="J32" s="226"/>
      <c r="K32" s="505"/>
      <c r="L32" s="226"/>
      <c r="M32" s="492"/>
      <c r="N32" s="69"/>
      <c r="O32" s="226">
        <f>I32-J32</f>
        <v>6341.946448752498</v>
      </c>
      <c r="P32" s="226"/>
      <c r="Q32" s="495"/>
    </row>
    <row r="33" spans="1:17" ht="55.5" customHeight="1">
      <c r="A33" s="383"/>
      <c r="B33" s="89"/>
      <c r="C33" s="135"/>
      <c r="D33" s="226" t="s">
        <v>32</v>
      </c>
      <c r="E33" s="226">
        <v>741.63</v>
      </c>
      <c r="F33" s="120">
        <v>58.611587491010255</v>
      </c>
      <c r="G33" s="440"/>
      <c r="H33" s="504"/>
      <c r="I33" s="225">
        <f>H32/100*F33</f>
        <v>8981.0535512475</v>
      </c>
      <c r="J33" s="226"/>
      <c r="K33" s="506"/>
      <c r="L33" s="226"/>
      <c r="M33" s="494"/>
      <c r="N33" s="69"/>
      <c r="O33" s="226">
        <f>I33-J33</f>
        <v>8981.0535512475</v>
      </c>
      <c r="P33" s="226"/>
      <c r="Q33" s="497"/>
    </row>
    <row r="34" spans="1:17" ht="15.75">
      <c r="A34" s="444" t="s">
        <v>54</v>
      </c>
      <c r="B34" s="445"/>
      <c r="C34" s="445"/>
      <c r="D34" s="445"/>
      <c r="E34" s="445"/>
      <c r="F34" s="445"/>
      <c r="G34" s="446"/>
      <c r="H34" s="166">
        <f>SUM(H8:H33)</f>
        <v>308437</v>
      </c>
      <c r="I34" s="166">
        <f>SUM(I8:I33)</f>
        <v>308437</v>
      </c>
      <c r="J34" s="116">
        <f>SUM(J9:J27)</f>
        <v>0</v>
      </c>
      <c r="K34" s="117"/>
      <c r="L34" s="116"/>
      <c r="M34" s="118"/>
      <c r="N34" s="118"/>
      <c r="O34" s="166">
        <f>SUM(O8:O33)</f>
        <v>308437</v>
      </c>
      <c r="P34" s="110"/>
      <c r="Q34" s="110"/>
    </row>
    <row r="36" ht="16.5" thickBot="1">
      <c r="A36" s="372" t="s">
        <v>110</v>
      </c>
    </row>
    <row r="37" spans="4:12" ht="15">
      <c r="D37" s="400" t="s">
        <v>78</v>
      </c>
      <c r="E37" s="394" t="s">
        <v>75</v>
      </c>
      <c r="F37" s="394"/>
      <c r="G37" s="400"/>
      <c r="H37" s="400"/>
      <c r="I37" s="402" t="s">
        <v>76</v>
      </c>
      <c r="J37" s="404" t="s">
        <v>77</v>
      </c>
      <c r="K37" s="394" t="s">
        <v>79</v>
      </c>
      <c r="L37" s="396" t="s">
        <v>80</v>
      </c>
    </row>
    <row r="38" spans="4:12" ht="36" customHeight="1" thickBot="1">
      <c r="D38" s="447"/>
      <c r="E38" s="220" t="s">
        <v>81</v>
      </c>
      <c r="F38" s="220" t="s">
        <v>18</v>
      </c>
      <c r="G38" s="447"/>
      <c r="H38" s="447"/>
      <c r="I38" s="448"/>
      <c r="J38" s="464"/>
      <c r="K38" s="452"/>
      <c r="L38" s="453"/>
    </row>
    <row r="39" spans="4:12" ht="15.75">
      <c r="D39" s="169" t="s">
        <v>30</v>
      </c>
      <c r="E39" s="110">
        <v>523.6999999999999</v>
      </c>
      <c r="F39" s="114">
        <v>41.388412508989745</v>
      </c>
      <c r="G39" s="222"/>
      <c r="H39" s="222"/>
      <c r="I39" s="106">
        <f>SUM(I22,I20,I18,I16,I14,I12,I10,I8,I24,I26,I28,I30,I32)</f>
        <v>127657.17789035273</v>
      </c>
      <c r="J39" s="106">
        <f>SUM(J22,J20,J18,J16,J14,J12,J10,J8)</f>
        <v>0</v>
      </c>
      <c r="K39" s="222"/>
      <c r="L39" s="106">
        <f>I39-J39</f>
        <v>127657.17789035273</v>
      </c>
    </row>
    <row r="40" spans="4:12" ht="15.75">
      <c r="D40" s="110" t="s">
        <v>32</v>
      </c>
      <c r="E40" s="110">
        <v>741.63</v>
      </c>
      <c r="F40" s="132">
        <v>58.611587491010255</v>
      </c>
      <c r="G40" s="222"/>
      <c r="H40" s="222"/>
      <c r="I40" s="106">
        <f>SUM(I23,I21,I19,I17,I15,I13,I11,I9,I25,I27,I29,I31,I33)</f>
        <v>180779.82210964727</v>
      </c>
      <c r="J40" s="106">
        <f>SUM(J23,J21,J19,J17,J15,J13,J11,J9,J25)</f>
        <v>0</v>
      </c>
      <c r="K40" s="222"/>
      <c r="L40" s="106">
        <f>I40-J40</f>
        <v>180779.82210964727</v>
      </c>
    </row>
    <row r="41" ht="15">
      <c r="J41" s="38"/>
    </row>
    <row r="42" spans="1:10" ht="15">
      <c r="A42" t="s">
        <v>69</v>
      </c>
      <c r="J42" s="306">
        <v>40000</v>
      </c>
    </row>
    <row r="43" spans="4:12" ht="15.75">
      <c r="D43" s="197" t="s">
        <v>27</v>
      </c>
      <c r="E43" s="197"/>
      <c r="F43" s="197"/>
      <c r="G43" s="197"/>
      <c r="H43" s="197"/>
      <c r="I43" s="198">
        <f>SUM(I39:I42)</f>
        <v>308437</v>
      </c>
      <c r="J43" s="198">
        <f>SUM(J39:J42)</f>
        <v>40000</v>
      </c>
      <c r="K43" s="197"/>
      <c r="L43" s="198">
        <f>I43-J43</f>
        <v>268437</v>
      </c>
    </row>
  </sheetData>
  <sheetProtection/>
  <mergeCells count="80">
    <mergeCell ref="G32:G33"/>
    <mergeCell ref="H32:H33"/>
    <mergeCell ref="K32:K33"/>
    <mergeCell ref="M32:M33"/>
    <mergeCell ref="Q32:Q33"/>
    <mergeCell ref="Q26:Q27"/>
    <mergeCell ref="G28:G29"/>
    <mergeCell ref="G30:G31"/>
    <mergeCell ref="H30:H31"/>
    <mergeCell ref="K30:K31"/>
    <mergeCell ref="K37:K38"/>
    <mergeCell ref="L37:L38"/>
    <mergeCell ref="D37:D38"/>
    <mergeCell ref="E37:F37"/>
    <mergeCell ref="G37:G38"/>
    <mergeCell ref="H37:H38"/>
    <mergeCell ref="I37:I38"/>
    <mergeCell ref="J37:J38"/>
    <mergeCell ref="G24:G25"/>
    <mergeCell ref="H24:H25"/>
    <mergeCell ref="K24:K25"/>
    <mergeCell ref="M24:M25"/>
    <mergeCell ref="Q24:Q25"/>
    <mergeCell ref="A34:G34"/>
    <mergeCell ref="G26:G27"/>
    <mergeCell ref="H26:H27"/>
    <mergeCell ref="K26:K27"/>
    <mergeCell ref="M26:M27"/>
    <mergeCell ref="G20:G21"/>
    <mergeCell ref="H20:H21"/>
    <mergeCell ref="K20:K21"/>
    <mergeCell ref="M20:M21"/>
    <mergeCell ref="Q20:Q21"/>
    <mergeCell ref="G22:G23"/>
    <mergeCell ref="H22:H23"/>
    <mergeCell ref="K22:K23"/>
    <mergeCell ref="M22:M23"/>
    <mergeCell ref="Q22:Q23"/>
    <mergeCell ref="K16:K17"/>
    <mergeCell ref="M16:M17"/>
    <mergeCell ref="Q16:Q17"/>
    <mergeCell ref="G18:G19"/>
    <mergeCell ref="H18:H19"/>
    <mergeCell ref="K18:K19"/>
    <mergeCell ref="M18:M19"/>
    <mergeCell ref="Q18:Q19"/>
    <mergeCell ref="G12:G13"/>
    <mergeCell ref="H12:H13"/>
    <mergeCell ref="G14:G15"/>
    <mergeCell ref="H14:H15"/>
    <mergeCell ref="G16:G17"/>
    <mergeCell ref="H16:H17"/>
    <mergeCell ref="G10:G11"/>
    <mergeCell ref="H10:H11"/>
    <mergeCell ref="K5:K6"/>
    <mergeCell ref="L5:L6"/>
    <mergeCell ref="M5:M6"/>
    <mergeCell ref="N5:N6"/>
    <mergeCell ref="E7:F7"/>
    <mergeCell ref="G8:G9"/>
    <mergeCell ref="H8:H9"/>
    <mergeCell ref="I5:I6"/>
    <mergeCell ref="J5:J6"/>
    <mergeCell ref="O5:O6"/>
    <mergeCell ref="A1:Q2"/>
    <mergeCell ref="A4:A6"/>
    <mergeCell ref="B4:B6"/>
    <mergeCell ref="C4:C6"/>
    <mergeCell ref="D4:D6"/>
    <mergeCell ref="E4:F5"/>
    <mergeCell ref="G4:Q4"/>
    <mergeCell ref="G5:H5"/>
    <mergeCell ref="Q5:Q6"/>
    <mergeCell ref="P5:P6"/>
    <mergeCell ref="M30:M31"/>
    <mergeCell ref="Q30:Q31"/>
    <mergeCell ref="H28:H29"/>
    <mergeCell ref="K28:K29"/>
    <mergeCell ref="M28:M29"/>
    <mergeCell ref="Q28:Q29"/>
  </mergeCells>
  <printOptions/>
  <pageMargins left="0.4" right="0.95" top="0.75" bottom="0.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Lmkr</dc:creator>
  <cp:keywords/>
  <dc:description/>
  <cp:lastModifiedBy>Khurram</cp:lastModifiedBy>
  <cp:lastPrinted>2020-01-23T07:20:20Z</cp:lastPrinted>
  <dcterms:created xsi:type="dcterms:W3CDTF">2013-10-12T06:49:20Z</dcterms:created>
  <dcterms:modified xsi:type="dcterms:W3CDTF">2020-01-23T07:20:21Z</dcterms:modified>
  <cp:category/>
  <cp:version/>
  <cp:contentType/>
  <cp:contentStatus/>
</cp:coreProperties>
</file>